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D:\01-Works\02-Work\0213-PMO\06-TEAM-PMO\0-Inputs\"/>
    </mc:Choice>
  </mc:AlternateContent>
  <bookViews>
    <workbookView xWindow="0" yWindow="0" windowWidth="20385" windowHeight="8370" activeTab="6"/>
  </bookViews>
  <sheets>
    <sheet name="PoP" sheetId="22" r:id="rId1"/>
    <sheet name="Legends" sheetId="25" r:id="rId2"/>
    <sheet name="Template" sheetId="24" r:id="rId3"/>
    <sheet name="4220D" sheetId="20" r:id="rId4"/>
    <sheet name="PLAN IN EXCEL" sheetId="15" state="hidden" r:id="rId5"/>
    <sheet name="NOZZLE" sheetId="19" r:id="rId6"/>
    <sheet name="BM" sheetId="6" r:id="rId7"/>
    <sheet name="ACTIVITY (2)" sheetId="11" state="hidden" r:id="rId8"/>
    <sheet name="ACTIVITY" sheetId="8" state="hidden" r:id="rId9"/>
    <sheet name="ESTIMATE (2)" sheetId="4" state="hidden" r:id="rId10"/>
    <sheet name="Sheet3" sheetId="10" state="hidden" r:id="rId11"/>
    <sheet name="Welding Qty Estimate" sheetId="18" r:id="rId12"/>
  </sheets>
  <definedNames>
    <definedName name="_xlnm._FilterDatabase" localSheetId="3" hidden="1">'4220D'!$S$1:$S$1331</definedName>
    <definedName name="_xlnm._FilterDatabase" localSheetId="8" hidden="1">ACTIVITY!#REF!</definedName>
    <definedName name="_xlnm._FilterDatabase" localSheetId="7" hidden="1">'ACTIVITY (2)'!#REF!</definedName>
    <definedName name="_xlnm._FilterDatabase" localSheetId="4" hidden="1">'PLAN IN EXCEL'!$E$1:$E$1289</definedName>
    <definedName name="_xlnm._FilterDatabase" localSheetId="2" hidden="1">Template!$A$2:$V$1289</definedName>
    <definedName name="_xlnm.Print_Area" localSheetId="3">'4220D'!$C$1:$T$1288</definedName>
    <definedName name="_xlnm.Print_Area" localSheetId="8">ACTIVITY!$C$1:$P$428</definedName>
    <definedName name="_xlnm.Print_Area" localSheetId="7">'ACTIVITY (2)'!$A$1:$N$428</definedName>
    <definedName name="_xlnm.Print_Area" localSheetId="6">BM!$B$2:$Y$62</definedName>
    <definedName name="_xlnm.Print_Area" localSheetId="2">Template!$A$2:$V$1289</definedName>
    <definedName name="_xlnm.Print_Titles" localSheetId="3">'4220D'!$1:$1</definedName>
    <definedName name="_xlnm.Print_Titles" localSheetId="8">ACTIVITY!$1:$1</definedName>
    <definedName name="_xlnm.Print_Titles" localSheetId="7">'ACTIVITY (2)'!$1:$1</definedName>
    <definedName name="_xlnm.Print_Titles" localSheetId="2">Template!$2:$2</definedName>
  </definedNames>
  <calcPr calcId="171027"/>
</workbook>
</file>

<file path=xl/calcChain.xml><?xml version="1.0" encoding="utf-8"?>
<calcChain xmlns="http://schemas.openxmlformats.org/spreadsheetml/2006/main">
  <c r="O31" i="24" l="1"/>
  <c r="O29" i="24"/>
  <c r="I853" i="24"/>
  <c r="I854" i="24" s="1"/>
  <c r="I735" i="24"/>
  <c r="I728" i="24"/>
  <c r="I740" i="24" s="1"/>
  <c r="I727" i="24"/>
  <c r="I739" i="24" s="1"/>
  <c r="I724" i="24"/>
  <c r="I736" i="24" s="1"/>
  <c r="I723" i="24"/>
  <c r="I720" i="24"/>
  <c r="I732" i="24" s="1"/>
  <c r="I719" i="24"/>
  <c r="I707" i="24"/>
  <c r="I700" i="24"/>
  <c r="I695" i="24"/>
  <c r="I696" i="24"/>
  <c r="I708" i="24" s="1"/>
  <c r="I691" i="24"/>
  <c r="I703" i="24" s="1"/>
  <c r="I692" i="24"/>
  <c r="I704" i="24" s="1"/>
  <c r="I687" i="24"/>
  <c r="I688" i="24"/>
  <c r="I675" i="24"/>
  <c r="I676" i="24"/>
  <c r="I677" i="24"/>
  <c r="I678" i="24"/>
  <c r="I679" i="24"/>
  <c r="I673" i="24"/>
  <c r="I663" i="24"/>
  <c r="I665" i="24"/>
  <c r="I666" i="24"/>
  <c r="I667" i="24"/>
  <c r="I668" i="24"/>
  <c r="I669" i="24"/>
  <c r="I236" i="24"/>
  <c r="I237" i="24" s="1"/>
  <c r="I119" i="24"/>
  <c r="I110" i="24"/>
  <c r="I122" i="24" s="1"/>
  <c r="I111" i="24"/>
  <c r="I123" i="24" s="1"/>
  <c r="I106" i="24"/>
  <c r="I118" i="24" s="1"/>
  <c r="I107" i="24"/>
  <c r="I102" i="24"/>
  <c r="I103" i="24"/>
  <c r="I115" i="24" s="1"/>
  <c r="I75" i="24"/>
  <c r="I74" i="24"/>
  <c r="I71" i="24"/>
  <c r="I70" i="24"/>
  <c r="L1289" i="24"/>
  <c r="L323" i="24"/>
  <c r="L320" i="24"/>
  <c r="L40" i="24"/>
  <c r="L1288" i="24"/>
  <c r="L1287" i="24"/>
  <c r="L1285" i="24"/>
  <c r="L1283" i="24"/>
  <c r="L1282" i="24"/>
  <c r="L1281" i="24"/>
  <c r="L1280" i="24"/>
  <c r="L1279" i="24"/>
  <c r="L1277" i="24"/>
  <c r="L1276" i="24"/>
  <c r="L1275" i="24"/>
  <c r="L1274" i="24"/>
  <c r="L1273" i="24"/>
  <c r="L1257" i="24"/>
  <c r="L1268" i="24"/>
  <c r="L1246" i="24"/>
  <c r="L1251" i="24"/>
  <c r="L1250" i="24"/>
  <c r="L1249" i="24"/>
  <c r="L1248" i="24"/>
  <c r="L1244" i="24"/>
  <c r="L1241" i="24"/>
  <c r="L1240" i="24"/>
  <c r="L1234" i="24"/>
  <c r="L1233" i="24"/>
  <c r="L1237" i="24"/>
  <c r="L1236" i="24"/>
  <c r="L1222" i="24"/>
  <c r="L1208" i="24"/>
  <c r="L1207" i="24"/>
  <c r="L1206" i="24"/>
  <c r="L1205" i="24"/>
  <c r="L1194" i="24"/>
  <c r="L1187" i="24"/>
  <c r="L1185" i="24"/>
  <c r="L1184" i="24"/>
  <c r="L1182" i="24"/>
  <c r="L1181" i="24"/>
  <c r="L1138" i="24"/>
  <c r="L1132" i="24"/>
  <c r="L1131" i="24"/>
  <c r="L1128" i="24"/>
  <c r="L1127" i="24"/>
  <c r="L1125" i="24"/>
  <c r="L1124" i="24"/>
  <c r="L1123" i="24"/>
  <c r="L1121" i="24"/>
  <c r="L1120" i="24"/>
  <c r="L1115" i="24"/>
  <c r="L1118" i="24"/>
  <c r="L1117" i="24"/>
  <c r="L1113" i="24"/>
  <c r="L1112" i="24"/>
  <c r="L1111" i="24"/>
  <c r="L1110" i="24"/>
  <c r="L1109" i="24"/>
  <c r="L1108" i="24"/>
  <c r="L1107" i="24"/>
  <c r="L1105" i="24"/>
  <c r="L1104" i="24"/>
  <c r="L1101" i="24"/>
  <c r="L1100" i="24"/>
  <c r="L1098" i="24"/>
  <c r="L1097" i="24"/>
  <c r="L1096" i="24"/>
  <c r="L1095" i="24"/>
  <c r="L1092" i="24"/>
  <c r="L1091" i="24"/>
  <c r="L1086" i="24"/>
  <c r="L1085" i="24"/>
  <c r="L1059" i="24"/>
  <c r="L1036" i="24"/>
  <c r="L1020" i="24"/>
  <c r="L1024" i="24"/>
  <c r="L1031" i="24"/>
  <c r="L1009" i="24"/>
  <c r="L1008" i="24"/>
  <c r="L1007" i="24"/>
  <c r="L995" i="24"/>
  <c r="L1004" i="24"/>
  <c r="L1003" i="24"/>
  <c r="L940" i="24"/>
  <c r="L937" i="24"/>
  <c r="L860" i="24"/>
  <c r="L865" i="24"/>
  <c r="L864" i="24"/>
  <c r="L863" i="24"/>
  <c r="L862" i="24"/>
  <c r="L858" i="24"/>
  <c r="L852" i="24"/>
  <c r="L844" i="24"/>
  <c r="L837" i="24"/>
  <c r="L802" i="24"/>
  <c r="L761" i="24"/>
  <c r="L759" i="24"/>
  <c r="L751" i="24"/>
  <c r="L750" i="24"/>
  <c r="L749" i="24"/>
  <c r="L732" i="24"/>
  <c r="L731" i="24"/>
  <c r="L700" i="24"/>
  <c r="L699" i="24"/>
  <c r="L673" i="24"/>
  <c r="L672" i="24"/>
  <c r="L665" i="24"/>
  <c r="L657" i="24"/>
  <c r="L641" i="24"/>
  <c r="L646" i="24"/>
  <c r="L645" i="24"/>
  <c r="L630" i="24"/>
  <c r="L624" i="24"/>
  <c r="L623" i="24"/>
  <c r="L622" i="24"/>
  <c r="L621" i="24"/>
  <c r="L619" i="24"/>
  <c r="L617" i="24"/>
  <c r="L614" i="24"/>
  <c r="L613" i="24"/>
  <c r="L610" i="24"/>
  <c r="L609" i="24"/>
  <c r="L607" i="24"/>
  <c r="L606" i="24"/>
  <c r="L595" i="24"/>
  <c r="L581" i="24"/>
  <c r="L580" i="24"/>
  <c r="L579" i="24"/>
  <c r="L578" i="24"/>
  <c r="L567" i="24"/>
  <c r="L560" i="24"/>
  <c r="L555" i="24"/>
  <c r="L554" i="24"/>
  <c r="L558" i="24"/>
  <c r="L557" i="24"/>
  <c r="L511" i="24"/>
  <c r="L505" i="24"/>
  <c r="L504" i="24"/>
  <c r="L501" i="24"/>
  <c r="L500" i="24"/>
  <c r="L498" i="24"/>
  <c r="L497" i="24"/>
  <c r="L496" i="24"/>
  <c r="L494" i="24"/>
  <c r="L493" i="24"/>
  <c r="L491" i="24"/>
  <c r="L490" i="24"/>
  <c r="L488" i="24"/>
  <c r="L486" i="24"/>
  <c r="L485" i="24"/>
  <c r="L484" i="24"/>
  <c r="L483" i="24"/>
  <c r="L482" i="24"/>
  <c r="L481" i="24"/>
  <c r="L480" i="24"/>
  <c r="L478" i="24"/>
  <c r="L477" i="24"/>
  <c r="L474" i="24"/>
  <c r="L475" i="24"/>
  <c r="L469" i="24"/>
  <c r="L468" i="24"/>
  <c r="L442" i="24"/>
  <c r="L407" i="24"/>
  <c r="L403" i="24"/>
  <c r="L419" i="24"/>
  <c r="L414" i="24"/>
  <c r="L392" i="24"/>
  <c r="L391" i="24"/>
  <c r="L390" i="24"/>
  <c r="L387" i="24"/>
  <c r="L386" i="24"/>
  <c r="L378" i="24"/>
  <c r="L248" i="24"/>
  <c r="L247" i="24"/>
  <c r="L246" i="24"/>
  <c r="L245" i="24"/>
  <c r="L243" i="24"/>
  <c r="L241" i="24"/>
  <c r="L235" i="24"/>
  <c r="L227" i="24"/>
  <c r="L144" i="24"/>
  <c r="L142" i="24"/>
  <c r="L134" i="24"/>
  <c r="L133" i="24"/>
  <c r="L132" i="24"/>
  <c r="L115" i="24"/>
  <c r="L114" i="24"/>
  <c r="L83" i="24"/>
  <c r="L82" i="24"/>
  <c r="L220" i="24"/>
  <c r="L56" i="24"/>
  <c r="L55" i="24"/>
  <c r="L48" i="24"/>
  <c r="L29" i="24"/>
  <c r="J1269" i="24"/>
  <c r="J1270" i="24" s="1"/>
  <c r="J1242" i="24"/>
  <c r="J1238" i="24"/>
  <c r="J1223" i="24"/>
  <c r="J1211" i="24"/>
  <c r="J1213" i="24" s="1"/>
  <c r="J1210" i="24"/>
  <c r="J1195" i="24"/>
  <c r="J1196" i="24" s="1"/>
  <c r="J1197" i="24" s="1"/>
  <c r="J1198" i="24" s="1"/>
  <c r="J1188" i="24"/>
  <c r="J1139" i="24"/>
  <c r="J1140" i="24" s="1"/>
  <c r="J1141" i="24" s="1"/>
  <c r="J1133" i="24"/>
  <c r="J1134" i="24" s="1"/>
  <c r="J1135" i="24" s="1"/>
  <c r="J1136" i="24" s="1"/>
  <c r="J1102" i="24"/>
  <c r="J1089" i="24"/>
  <c r="J1088" i="24"/>
  <c r="J1060" i="24"/>
  <c r="J1061" i="24" s="1"/>
  <c r="J1063" i="24" s="1"/>
  <c r="J1064" i="24" s="1"/>
  <c r="J1065" i="24" s="1"/>
  <c r="J1066" i="24" s="1"/>
  <c r="J1067" i="24" s="1"/>
  <c r="J1069" i="24" s="1"/>
  <c r="J1070" i="24" s="1"/>
  <c r="J1071" i="24" s="1"/>
  <c r="J1072" i="24" s="1"/>
  <c r="J1074" i="24" s="1"/>
  <c r="J1075" i="24" s="1"/>
  <c r="J1076" i="24" s="1"/>
  <c r="J1077" i="24" s="1"/>
  <c r="J1078" i="24" s="1"/>
  <c r="J1080" i="24" s="1"/>
  <c r="J1082" i="24" s="1"/>
  <c r="J1083" i="24" s="1"/>
  <c r="J1037" i="24"/>
  <c r="J1038" i="24" s="1"/>
  <c r="J1039" i="24" s="1"/>
  <c r="J1040" i="24" s="1"/>
  <c r="J1042" i="24" s="1"/>
  <c r="J1043" i="24" s="1"/>
  <c r="J1044" i="24" s="1"/>
  <c r="J1045" i="24" s="1"/>
  <c r="J1047" i="24" s="1"/>
  <c r="J1048" i="24" s="1"/>
  <c r="J1050" i="24" s="1"/>
  <c r="J1051" i="24" s="1"/>
  <c r="J1052" i="24" s="1"/>
  <c r="J1053" i="24" s="1"/>
  <c r="J1054" i="24" s="1"/>
  <c r="J1055" i="24" s="1"/>
  <c r="J1057" i="24" s="1"/>
  <c r="J1032" i="24"/>
  <c r="J1021" i="24"/>
  <c r="J1022" i="24" s="1"/>
  <c r="J1023" i="24" s="1"/>
  <c r="J996" i="24"/>
  <c r="J999" i="24" s="1"/>
  <c r="J1000" i="24" s="1"/>
  <c r="J1012" i="24" s="1"/>
  <c r="J1013" i="24" s="1"/>
  <c r="J1014" i="24" s="1"/>
  <c r="J1015" i="24" s="1"/>
  <c r="J1016" i="24" s="1"/>
  <c r="J1017" i="24" s="1"/>
  <c r="J1018" i="24" s="1"/>
  <c r="J938" i="24"/>
  <c r="J939" i="24" s="1"/>
  <c r="J870" i="24"/>
  <c r="J869" i="24"/>
  <c r="J868" i="24"/>
  <c r="J867" i="24"/>
  <c r="J872" i="24" s="1"/>
  <c r="J877" i="24" s="1"/>
  <c r="J882" i="24" s="1"/>
  <c r="J887" i="24" s="1"/>
  <c r="J892" i="24" s="1"/>
  <c r="J897" i="24" s="1"/>
  <c r="J902" i="24" s="1"/>
  <c r="J907" i="24" s="1"/>
  <c r="J912" i="24" s="1"/>
  <c r="J917" i="24" s="1"/>
  <c r="J922" i="24" s="1"/>
  <c r="J853" i="24"/>
  <c r="J845" i="24"/>
  <c r="J838" i="24"/>
  <c r="J839" i="24" s="1"/>
  <c r="J755" i="24"/>
  <c r="J754" i="24"/>
  <c r="J753" i="24"/>
  <c r="J744" i="24"/>
  <c r="J743" i="24"/>
  <c r="J712" i="24"/>
  <c r="J711" i="24"/>
  <c r="J675" i="24"/>
  <c r="J676" i="24" s="1"/>
  <c r="J666" i="24"/>
  <c r="J658" i="24"/>
  <c r="J648" i="24"/>
  <c r="J642" i="24"/>
  <c r="J643" i="24" s="1"/>
  <c r="J615" i="24"/>
  <c r="J611" i="24"/>
  <c r="J596" i="24"/>
  <c r="J584" i="24"/>
  <c r="J587" i="24" s="1"/>
  <c r="J583" i="24"/>
  <c r="J568" i="24"/>
  <c r="J561" i="24"/>
  <c r="J512" i="24"/>
  <c r="J506" i="24"/>
  <c r="J472" i="24"/>
  <c r="J471" i="24"/>
  <c r="J443" i="24"/>
  <c r="J420" i="24"/>
  <c r="J415" i="24"/>
  <c r="J404" i="24"/>
  <c r="J405" i="24" s="1"/>
  <c r="J379" i="24"/>
  <c r="J321" i="24"/>
  <c r="J322" i="24" s="1"/>
  <c r="J253" i="24"/>
  <c r="J252" i="24"/>
  <c r="J251" i="24"/>
  <c r="J250" i="24"/>
  <c r="J255" i="24" s="1"/>
  <c r="J260" i="24" s="1"/>
  <c r="J236" i="24"/>
  <c r="J228" i="24"/>
  <c r="J229" i="24" s="1"/>
  <c r="J221" i="24"/>
  <c r="J138" i="24"/>
  <c r="L138" i="24" s="1"/>
  <c r="J137" i="24"/>
  <c r="L137" i="24" s="1"/>
  <c r="J136" i="24"/>
  <c r="L136" i="24" s="1"/>
  <c r="J127" i="24"/>
  <c r="L127" i="24" s="1"/>
  <c r="J126" i="24"/>
  <c r="L126" i="24" s="1"/>
  <c r="J95" i="24"/>
  <c r="J94" i="24"/>
  <c r="J98" i="24" s="1"/>
  <c r="L98" i="24" s="1"/>
  <c r="J58" i="24"/>
  <c r="J59" i="24" s="1"/>
  <c r="J62" i="24" s="1"/>
  <c r="J49" i="24"/>
  <c r="J41" i="24"/>
  <c r="J42" i="24" s="1"/>
  <c r="J31" i="24"/>
  <c r="J32" i="24" s="1"/>
  <c r="J33" i="24" s="1"/>
  <c r="J34" i="24" s="1"/>
  <c r="J35" i="24" s="1"/>
  <c r="J36" i="24" s="1"/>
  <c r="J37" i="24" s="1"/>
  <c r="J38" i="24" s="1"/>
  <c r="J39" i="24" s="1"/>
  <c r="K1269" i="24"/>
  <c r="K1270" i="24" s="1"/>
  <c r="K1242" i="24"/>
  <c r="K1238" i="24"/>
  <c r="K1223" i="24"/>
  <c r="K1224" i="24" s="1"/>
  <c r="K1211" i="24"/>
  <c r="K1213" i="24" s="1"/>
  <c r="K1210" i="24"/>
  <c r="K1195" i="24"/>
  <c r="K1196" i="24" s="1"/>
  <c r="K1197" i="24" s="1"/>
  <c r="K1198" i="24" s="1"/>
  <c r="K1188" i="24"/>
  <c r="K1191" i="24" s="1"/>
  <c r="K1201" i="24" s="1"/>
  <c r="K1139" i="24"/>
  <c r="K1140" i="24" s="1"/>
  <c r="K1141" i="24" s="1"/>
  <c r="K1133" i="24"/>
  <c r="K1134" i="24" s="1"/>
  <c r="K1102" i="24"/>
  <c r="K1089" i="24"/>
  <c r="K1088" i="24"/>
  <c r="K1060" i="24"/>
  <c r="K1037" i="24"/>
  <c r="K1038" i="24" s="1"/>
  <c r="K1039" i="24" s="1"/>
  <c r="K1040" i="24" s="1"/>
  <c r="K1042" i="24" s="1"/>
  <c r="K1043" i="24" s="1"/>
  <c r="K1044" i="24" s="1"/>
  <c r="K1045" i="24" s="1"/>
  <c r="K1047" i="24" s="1"/>
  <c r="K1048" i="24" s="1"/>
  <c r="K1050" i="24" s="1"/>
  <c r="K1051" i="24" s="1"/>
  <c r="K1052" i="24" s="1"/>
  <c r="K1053" i="24" s="1"/>
  <c r="K1054" i="24" s="1"/>
  <c r="K1055" i="24" s="1"/>
  <c r="K1057" i="24" s="1"/>
  <c r="K1032" i="24"/>
  <c r="K1021" i="24"/>
  <c r="K1022" i="24" s="1"/>
  <c r="K1023" i="24" s="1"/>
  <c r="K996" i="24"/>
  <c r="K999" i="24" s="1"/>
  <c r="K1000" i="24" s="1"/>
  <c r="K1012" i="24" s="1"/>
  <c r="K1013" i="24" s="1"/>
  <c r="K1014" i="24" s="1"/>
  <c r="K938" i="24"/>
  <c r="K939" i="24" s="1"/>
  <c r="K942" i="24" s="1"/>
  <c r="K943" i="24" s="1"/>
  <c r="K945" i="24" s="1"/>
  <c r="K946" i="24" s="1"/>
  <c r="K947" i="24" s="1"/>
  <c r="K948" i="24" s="1"/>
  <c r="K949" i="24" s="1"/>
  <c r="K952" i="24" s="1"/>
  <c r="K955" i="24" s="1"/>
  <c r="K956" i="24" s="1"/>
  <c r="K957" i="24" s="1"/>
  <c r="K958" i="24" s="1"/>
  <c r="K870" i="24"/>
  <c r="K875" i="24" s="1"/>
  <c r="K880" i="24" s="1"/>
  <c r="K885" i="24" s="1"/>
  <c r="K890" i="24" s="1"/>
  <c r="K895" i="24" s="1"/>
  <c r="K900" i="24" s="1"/>
  <c r="K905" i="24" s="1"/>
  <c r="K910" i="24" s="1"/>
  <c r="K915" i="24" s="1"/>
  <c r="K920" i="24" s="1"/>
  <c r="K925" i="24" s="1"/>
  <c r="K930" i="24" s="1"/>
  <c r="K935" i="24" s="1"/>
  <c r="K869" i="24"/>
  <c r="K874" i="24" s="1"/>
  <c r="K879" i="24" s="1"/>
  <c r="K884" i="24" s="1"/>
  <c r="K889" i="24" s="1"/>
  <c r="K894" i="24" s="1"/>
  <c r="K899" i="24" s="1"/>
  <c r="K904" i="24" s="1"/>
  <c r="K909" i="24" s="1"/>
  <c r="K914" i="24" s="1"/>
  <c r="K919" i="24" s="1"/>
  <c r="K924" i="24" s="1"/>
  <c r="K929" i="24" s="1"/>
  <c r="K934" i="24" s="1"/>
  <c r="K868" i="24"/>
  <c r="K873" i="24" s="1"/>
  <c r="K878" i="24" s="1"/>
  <c r="K883" i="24" s="1"/>
  <c r="K888" i="24" s="1"/>
  <c r="K893" i="24" s="1"/>
  <c r="K898" i="24" s="1"/>
  <c r="K903" i="24" s="1"/>
  <c r="K908" i="24" s="1"/>
  <c r="K913" i="24" s="1"/>
  <c r="K918" i="24" s="1"/>
  <c r="K923" i="24" s="1"/>
  <c r="K928" i="24" s="1"/>
  <c r="K933" i="24" s="1"/>
  <c r="K867" i="24"/>
  <c r="K872" i="24" s="1"/>
  <c r="K877" i="24" s="1"/>
  <c r="K882" i="24" s="1"/>
  <c r="K887" i="24" s="1"/>
  <c r="K892" i="24" s="1"/>
  <c r="K897" i="24" s="1"/>
  <c r="K902" i="24" s="1"/>
  <c r="K907" i="24" s="1"/>
  <c r="K912" i="24" s="1"/>
  <c r="K917" i="24" s="1"/>
  <c r="K922" i="24" s="1"/>
  <c r="K927" i="24" s="1"/>
  <c r="K932" i="24" s="1"/>
  <c r="K845" i="24"/>
  <c r="K846" i="24" s="1"/>
  <c r="K847" i="24" s="1"/>
  <c r="K848" i="24" s="1"/>
  <c r="K849" i="24" s="1"/>
  <c r="K838" i="24"/>
  <c r="K839" i="24" s="1"/>
  <c r="K840" i="24" s="1"/>
  <c r="K841" i="24" s="1"/>
  <c r="K842" i="24" s="1"/>
  <c r="K755" i="24"/>
  <c r="K754" i="24"/>
  <c r="K753" i="24"/>
  <c r="K744" i="24"/>
  <c r="L744" i="24" s="1"/>
  <c r="K743" i="24"/>
  <c r="K712" i="24"/>
  <c r="K716" i="24" s="1"/>
  <c r="K711" i="24"/>
  <c r="K715" i="24" s="1"/>
  <c r="K675" i="24"/>
  <c r="K676" i="24" s="1"/>
  <c r="K679" i="24" s="1"/>
  <c r="K666" i="24"/>
  <c r="K669" i="24" s="1"/>
  <c r="K658" i="24"/>
  <c r="K659" i="24" s="1"/>
  <c r="K662" i="24" s="1"/>
  <c r="K663" i="24" s="1"/>
  <c r="K648" i="24"/>
  <c r="K649" i="24" s="1"/>
  <c r="K650" i="24" s="1"/>
  <c r="K651" i="24" s="1"/>
  <c r="K652" i="24" s="1"/>
  <c r="K653" i="24" s="1"/>
  <c r="K654" i="24" s="1"/>
  <c r="K655" i="24" s="1"/>
  <c r="K656" i="24" s="1"/>
  <c r="K642" i="24"/>
  <c r="K643" i="24" s="1"/>
  <c r="K615" i="24"/>
  <c r="K611" i="24"/>
  <c r="K596" i="24"/>
  <c r="K597" i="24" s="1"/>
  <c r="K584" i="24"/>
  <c r="K583" i="24"/>
  <c r="K568" i="24"/>
  <c r="K569" i="24" s="1"/>
  <c r="K570" i="24" s="1"/>
  <c r="K571" i="24" s="1"/>
  <c r="K561" i="24"/>
  <c r="K564" i="24" s="1"/>
  <c r="K512" i="24"/>
  <c r="K513" i="24" s="1"/>
  <c r="K514" i="24" s="1"/>
  <c r="K517" i="24" s="1"/>
  <c r="K519" i="24" s="1"/>
  <c r="K520" i="24" s="1"/>
  <c r="K521" i="24" s="1"/>
  <c r="K522" i="24" s="1"/>
  <c r="K523" i="24" s="1"/>
  <c r="K524" i="24" s="1"/>
  <c r="K526" i="24" s="1"/>
  <c r="K528" i="24" s="1"/>
  <c r="K529" i="24" s="1"/>
  <c r="K530" i="24" s="1"/>
  <c r="K532" i="24" s="1"/>
  <c r="K506" i="24"/>
  <c r="K507" i="24" s="1"/>
  <c r="K508" i="24" s="1"/>
  <c r="K509" i="24" s="1"/>
  <c r="K472" i="24"/>
  <c r="K471" i="24"/>
  <c r="K443" i="24"/>
  <c r="K444" i="24" s="1"/>
  <c r="K446" i="24" s="1"/>
  <c r="K447" i="24" s="1"/>
  <c r="K448" i="24" s="1"/>
  <c r="K449" i="24" s="1"/>
  <c r="K450" i="24" s="1"/>
  <c r="K452" i="24" s="1"/>
  <c r="K453" i="24" s="1"/>
  <c r="K454" i="24" s="1"/>
  <c r="K455" i="24" s="1"/>
  <c r="K457" i="24" s="1"/>
  <c r="K458" i="24" s="1"/>
  <c r="K459" i="24" s="1"/>
  <c r="K460" i="24" s="1"/>
  <c r="K461" i="24" s="1"/>
  <c r="K463" i="24" s="1"/>
  <c r="K465" i="24" s="1"/>
  <c r="K466" i="24" s="1"/>
  <c r="K420" i="24"/>
  <c r="K421" i="24" s="1"/>
  <c r="K422" i="24" s="1"/>
  <c r="K423" i="24" s="1"/>
  <c r="K425" i="24" s="1"/>
  <c r="K426" i="24" s="1"/>
  <c r="K427" i="24" s="1"/>
  <c r="K428" i="24" s="1"/>
  <c r="K430" i="24" s="1"/>
  <c r="K431" i="24" s="1"/>
  <c r="K433" i="24" s="1"/>
  <c r="K434" i="24" s="1"/>
  <c r="K435" i="24" s="1"/>
  <c r="K436" i="24" s="1"/>
  <c r="K437" i="24" s="1"/>
  <c r="K438" i="24" s="1"/>
  <c r="K440" i="24" s="1"/>
  <c r="K415" i="24"/>
  <c r="K404" i="24"/>
  <c r="K405" i="24" s="1"/>
  <c r="K406" i="24" s="1"/>
  <c r="K321" i="24"/>
  <c r="K322" i="24" s="1"/>
  <c r="K325" i="24" s="1"/>
  <c r="K326" i="24" s="1"/>
  <c r="K328" i="24" s="1"/>
  <c r="K329" i="24" s="1"/>
  <c r="K330" i="24" s="1"/>
  <c r="K331" i="24" s="1"/>
  <c r="K332" i="24" s="1"/>
  <c r="K253" i="24"/>
  <c r="K258" i="24" s="1"/>
  <c r="K263" i="24" s="1"/>
  <c r="K268" i="24" s="1"/>
  <c r="K273" i="24" s="1"/>
  <c r="K278" i="24" s="1"/>
  <c r="K283" i="24" s="1"/>
  <c r="K288" i="24" s="1"/>
  <c r="K293" i="24" s="1"/>
  <c r="K298" i="24" s="1"/>
  <c r="K303" i="24" s="1"/>
  <c r="K308" i="24" s="1"/>
  <c r="K313" i="24" s="1"/>
  <c r="K318" i="24" s="1"/>
  <c r="K252" i="24"/>
  <c r="K257" i="24" s="1"/>
  <c r="K262" i="24" s="1"/>
  <c r="K267" i="24" s="1"/>
  <c r="K272" i="24" s="1"/>
  <c r="K277" i="24" s="1"/>
  <c r="K282" i="24" s="1"/>
  <c r="K287" i="24" s="1"/>
  <c r="K292" i="24" s="1"/>
  <c r="K297" i="24" s="1"/>
  <c r="K302" i="24" s="1"/>
  <c r="K307" i="24" s="1"/>
  <c r="K312" i="24" s="1"/>
  <c r="K317" i="24" s="1"/>
  <c r="K251" i="24"/>
  <c r="K256" i="24" s="1"/>
  <c r="K261" i="24" s="1"/>
  <c r="K266" i="24" s="1"/>
  <c r="K271" i="24" s="1"/>
  <c r="K276" i="24" s="1"/>
  <c r="K281" i="24" s="1"/>
  <c r="K286" i="24" s="1"/>
  <c r="K291" i="24" s="1"/>
  <c r="K296" i="24" s="1"/>
  <c r="K301" i="24" s="1"/>
  <c r="K306" i="24" s="1"/>
  <c r="K311" i="24" s="1"/>
  <c r="K316" i="24" s="1"/>
  <c r="K250" i="24"/>
  <c r="K255" i="24" s="1"/>
  <c r="K260" i="24" s="1"/>
  <c r="K265" i="24" s="1"/>
  <c r="K270" i="24" s="1"/>
  <c r="K275" i="24" s="1"/>
  <c r="K280" i="24" s="1"/>
  <c r="K285" i="24" s="1"/>
  <c r="K290" i="24" s="1"/>
  <c r="K295" i="24" s="1"/>
  <c r="K300" i="24" s="1"/>
  <c r="K305" i="24" s="1"/>
  <c r="K310" i="24" s="1"/>
  <c r="K315" i="24" s="1"/>
  <c r="K228" i="24"/>
  <c r="K229" i="24" s="1"/>
  <c r="K230" i="24" s="1"/>
  <c r="K231" i="24" s="1"/>
  <c r="K232" i="24" s="1"/>
  <c r="K221" i="24"/>
  <c r="K222" i="24" s="1"/>
  <c r="K223" i="24" s="1"/>
  <c r="K224" i="24" s="1"/>
  <c r="K225" i="24" s="1"/>
  <c r="K58" i="24"/>
  <c r="K59" i="24" s="1"/>
  <c r="K62" i="24" s="1"/>
  <c r="K49" i="24"/>
  <c r="K52" i="24" s="1"/>
  <c r="K41" i="24"/>
  <c r="K42" i="24" s="1"/>
  <c r="K31" i="24"/>
  <c r="K32" i="24" s="1"/>
  <c r="K33" i="24" s="1"/>
  <c r="K34" i="24" s="1"/>
  <c r="K35" i="24" s="1"/>
  <c r="K36" i="24" s="1"/>
  <c r="K37" i="24" s="1"/>
  <c r="K38" i="24" s="1"/>
  <c r="K39" i="24" s="1"/>
  <c r="L39" i="24" s="1"/>
  <c r="L1210" i="24" l="1"/>
  <c r="L1242" i="24"/>
  <c r="L42" i="24"/>
  <c r="L62" i="24"/>
  <c r="L472" i="24"/>
  <c r="L611" i="24"/>
  <c r="L754" i="24"/>
  <c r="L1032" i="24"/>
  <c r="L1089" i="24"/>
  <c r="L1045" i="24"/>
  <c r="L907" i="24"/>
  <c r="L1057" i="24"/>
  <c r="L1102" i="24"/>
  <c r="L1198" i="24"/>
  <c r="L1238" i="24"/>
  <c r="L1051" i="24"/>
  <c r="L887" i="24"/>
  <c r="L250" i="24"/>
  <c r="L1197" i="24"/>
  <c r="L1037" i="24"/>
  <c r="L867" i="24"/>
  <c r="L471" i="24"/>
  <c r="L1023" i="24"/>
  <c r="L1088" i="24"/>
  <c r="L1141" i="24"/>
  <c r="L1213" i="24"/>
  <c r="L1270" i="24"/>
  <c r="L1040" i="24"/>
  <c r="L1022" i="24"/>
  <c r="J237" i="24"/>
  <c r="L237" i="24" s="1"/>
  <c r="L236" i="24"/>
  <c r="J258" i="24"/>
  <c r="L253" i="24"/>
  <c r="J569" i="24"/>
  <c r="L568" i="24"/>
  <c r="J854" i="24"/>
  <c r="L854" i="24" s="1"/>
  <c r="L853" i="24"/>
  <c r="J875" i="24"/>
  <c r="L870" i="24"/>
  <c r="J1191" i="24"/>
  <c r="J1200" i="24" s="1"/>
  <c r="L1188" i="24"/>
  <c r="L643" i="24"/>
  <c r="J659" i="24"/>
  <c r="L658" i="24"/>
  <c r="L31" i="24"/>
  <c r="J716" i="24"/>
  <c r="L716" i="24" s="1"/>
  <c r="L712" i="24"/>
  <c r="J1224" i="24"/>
  <c r="L1224" i="24" s="1"/>
  <c r="L1223" i="24"/>
  <c r="K1015" i="24"/>
  <c r="K1016" i="24" s="1"/>
  <c r="K1017" i="24" s="1"/>
  <c r="K1018" i="24" s="1"/>
  <c r="L1018" i="24" s="1"/>
  <c r="L1014" i="24"/>
  <c r="K1061" i="24"/>
  <c r="K1063" i="24" s="1"/>
  <c r="K1064" i="24" s="1"/>
  <c r="K1065" i="24" s="1"/>
  <c r="L1060" i="24"/>
  <c r="K1135" i="24"/>
  <c r="K1136" i="24" s="1"/>
  <c r="L1136" i="24" s="1"/>
  <c r="L1134" i="24"/>
  <c r="J52" i="24"/>
  <c r="L52" i="24" s="1"/>
  <c r="L49" i="24"/>
  <c r="L35" i="24"/>
  <c r="L221" i="24"/>
  <c r="J265" i="24"/>
  <c r="L260" i="24"/>
  <c r="J325" i="24"/>
  <c r="L322" i="24"/>
  <c r="J421" i="24"/>
  <c r="L420" i="24"/>
  <c r="J507" i="24"/>
  <c r="L506" i="24"/>
  <c r="L583" i="24"/>
  <c r="L615" i="24"/>
  <c r="J669" i="24"/>
  <c r="L669" i="24" s="1"/>
  <c r="L666" i="24"/>
  <c r="L743" i="24"/>
  <c r="L755" i="24"/>
  <c r="J927" i="24"/>
  <c r="L922" i="24"/>
  <c r="J942" i="24"/>
  <c r="L939" i="24"/>
  <c r="L32" i="24"/>
  <c r="L36" i="24"/>
  <c r="L94" i="24"/>
  <c r="L1196" i="24"/>
  <c r="L1139" i="24"/>
  <c r="L1135" i="24"/>
  <c r="L1064" i="24"/>
  <c r="L1042" i="24"/>
  <c r="L1047" i="24"/>
  <c r="L1052" i="24"/>
  <c r="L1038" i="24"/>
  <c r="L1015" i="24"/>
  <c r="L996" i="24"/>
  <c r="L902" i="24"/>
  <c r="L882" i="24"/>
  <c r="L404" i="24"/>
  <c r="J222" i="24"/>
  <c r="J256" i="24"/>
  <c r="L251" i="24"/>
  <c r="J382" i="24"/>
  <c r="L379" i="24"/>
  <c r="J444" i="24"/>
  <c r="L443" i="24"/>
  <c r="J513" i="24"/>
  <c r="L512" i="24"/>
  <c r="J589" i="24"/>
  <c r="J679" i="24"/>
  <c r="L679" i="24" s="1"/>
  <c r="L676" i="24"/>
  <c r="J840" i="24"/>
  <c r="L839" i="24"/>
  <c r="J873" i="24"/>
  <c r="L868" i="24"/>
  <c r="L33" i="24"/>
  <c r="L37" i="24"/>
  <c r="L41" i="24"/>
  <c r="L58" i="24"/>
  <c r="L1269" i="24"/>
  <c r="L1195" i="24"/>
  <c r="L1140" i="24"/>
  <c r="L1055" i="24"/>
  <c r="L1043" i="24"/>
  <c r="L1048" i="24"/>
  <c r="L1053" i="24"/>
  <c r="L1039" i="24"/>
  <c r="L1012" i="24"/>
  <c r="L1016" i="24"/>
  <c r="L999" i="24"/>
  <c r="L938" i="24"/>
  <c r="L917" i="24"/>
  <c r="L897" i="24"/>
  <c r="L877" i="24"/>
  <c r="L675" i="24"/>
  <c r="L584" i="24"/>
  <c r="L255" i="24"/>
  <c r="L228" i="24"/>
  <c r="J99" i="24"/>
  <c r="L99" i="24" s="1"/>
  <c r="L95" i="24"/>
  <c r="J230" i="24"/>
  <c r="L229" i="24"/>
  <c r="J257" i="24"/>
  <c r="L252" i="24"/>
  <c r="J406" i="24"/>
  <c r="L406" i="24" s="1"/>
  <c r="L405" i="24"/>
  <c r="J564" i="24"/>
  <c r="L564" i="24" s="1"/>
  <c r="L561" i="24"/>
  <c r="J597" i="24"/>
  <c r="L597" i="24" s="1"/>
  <c r="L596" i="24"/>
  <c r="J649" i="24"/>
  <c r="L648" i="24"/>
  <c r="J715" i="24"/>
  <c r="L715" i="24" s="1"/>
  <c r="L711" i="24"/>
  <c r="L753" i="24"/>
  <c r="J846" i="24"/>
  <c r="L845" i="24"/>
  <c r="J874" i="24"/>
  <c r="L869" i="24"/>
  <c r="L34" i="24"/>
  <c r="L38" i="24"/>
  <c r="L59" i="24"/>
  <c r="L1211" i="24"/>
  <c r="L1133" i="24"/>
  <c r="L1054" i="24"/>
  <c r="L1044" i="24"/>
  <c r="L1050" i="24"/>
  <c r="L1021" i="24"/>
  <c r="L1013" i="24"/>
  <c r="L1017" i="24"/>
  <c r="L1000" i="24"/>
  <c r="L912" i="24"/>
  <c r="L892" i="24"/>
  <c r="L872" i="24"/>
  <c r="L838" i="24"/>
  <c r="L321" i="24"/>
  <c r="L415" i="24"/>
  <c r="L642" i="24"/>
  <c r="J586" i="24"/>
  <c r="J1214" i="24"/>
  <c r="K1190" i="24"/>
  <c r="J563" i="24"/>
  <c r="J1190" i="24"/>
  <c r="K563" i="24"/>
  <c r="K1214" i="24"/>
  <c r="K1216" i="24" s="1"/>
  <c r="K1218" i="24" s="1"/>
  <c r="K1220" i="24" s="1"/>
  <c r="K1221" i="24" s="1"/>
  <c r="K1226" i="24" s="1"/>
  <c r="K1227" i="24" s="1"/>
  <c r="K1228" i="24" s="1"/>
  <c r="K1229" i="24" s="1"/>
  <c r="K1230" i="24" s="1"/>
  <c r="J1144" i="24"/>
  <c r="J1143" i="24"/>
  <c r="J566" i="24"/>
  <c r="J574" i="24"/>
  <c r="J573" i="24"/>
  <c r="K960" i="24"/>
  <c r="K961" i="24"/>
  <c r="K963" i="24" s="1"/>
  <c r="K964" i="24" s="1"/>
  <c r="K965" i="24" s="1"/>
  <c r="K966" i="24" s="1"/>
  <c r="K967" i="24" s="1"/>
  <c r="K969" i="24" s="1"/>
  <c r="K970" i="24" s="1"/>
  <c r="K971" i="24" s="1"/>
  <c r="K335" i="24"/>
  <c r="K338" i="24" s="1"/>
  <c r="K339" i="24" s="1"/>
  <c r="K340" i="24" s="1"/>
  <c r="K341" i="24" s="1"/>
  <c r="K334" i="24"/>
  <c r="K337" i="24"/>
  <c r="K533" i="24"/>
  <c r="K535" i="24" s="1"/>
  <c r="K534" i="24"/>
  <c r="K536" i="24" s="1"/>
  <c r="K538" i="24" s="1"/>
  <c r="K539" i="24" s="1"/>
  <c r="K540" i="24" s="1"/>
  <c r="K541" i="24" s="1"/>
  <c r="K543" i="24" s="1"/>
  <c r="K544" i="24" s="1"/>
  <c r="K545" i="24" s="1"/>
  <c r="K546" i="24" s="1"/>
  <c r="K547" i="24" s="1"/>
  <c r="K549" i="24" s="1"/>
  <c r="K551" i="24" s="1"/>
  <c r="K552" i="24" s="1"/>
  <c r="K1144" i="24"/>
  <c r="K1146" i="24" s="1"/>
  <c r="K1147" i="24" s="1"/>
  <c r="K1148" i="24" s="1"/>
  <c r="K1149" i="24" s="1"/>
  <c r="K1150" i="24" s="1"/>
  <c r="K1151" i="24" s="1"/>
  <c r="K1153" i="24" s="1"/>
  <c r="K1155" i="24" s="1"/>
  <c r="K1156" i="24" s="1"/>
  <c r="K1157" i="24" s="1"/>
  <c r="K1159" i="24" s="1"/>
  <c r="K1143" i="24"/>
  <c r="K573" i="24"/>
  <c r="K574" i="24"/>
  <c r="K566" i="24"/>
  <c r="K586" i="24"/>
  <c r="K587" i="24"/>
  <c r="K589" i="24" s="1"/>
  <c r="K591" i="24" s="1"/>
  <c r="K593" i="24" s="1"/>
  <c r="K594" i="24" s="1"/>
  <c r="K599" i="24" s="1"/>
  <c r="K600" i="24" s="1"/>
  <c r="K601" i="24" s="1"/>
  <c r="K602" i="24" s="1"/>
  <c r="K603" i="24" s="1"/>
  <c r="K516" i="24"/>
  <c r="K954" i="24"/>
  <c r="K951" i="24"/>
  <c r="K1200" i="24"/>
  <c r="K1193" i="24"/>
  <c r="L1061" i="24" l="1"/>
  <c r="J1193" i="24"/>
  <c r="L1193" i="24" s="1"/>
  <c r="L1063" i="24"/>
  <c r="L574" i="24"/>
  <c r="J1216" i="24"/>
  <c r="L1214" i="24"/>
  <c r="J231" i="24"/>
  <c r="L230" i="24"/>
  <c r="L587" i="24"/>
  <c r="J662" i="24"/>
  <c r="L659" i="24"/>
  <c r="L1200" i="24"/>
  <c r="L1190" i="24"/>
  <c r="L586" i="24"/>
  <c r="J847" i="24"/>
  <c r="L846" i="24"/>
  <c r="J841" i="24"/>
  <c r="L840" i="24"/>
  <c r="J591" i="24"/>
  <c r="L589" i="24"/>
  <c r="J446" i="24"/>
  <c r="L444" i="24"/>
  <c r="J261" i="24"/>
  <c r="L256" i="24"/>
  <c r="J932" i="24"/>
  <c r="L932" i="24" s="1"/>
  <c r="L927" i="24"/>
  <c r="J508" i="24"/>
  <c r="L507" i="24"/>
  <c r="J326" i="24"/>
  <c r="L325" i="24"/>
  <c r="J1201" i="24"/>
  <c r="L1201" i="24" s="1"/>
  <c r="L1191" i="24"/>
  <c r="J263" i="24"/>
  <c r="L258" i="24"/>
  <c r="L1143" i="24"/>
  <c r="L563" i="24"/>
  <c r="J650" i="24"/>
  <c r="L649" i="24"/>
  <c r="J262" i="24"/>
  <c r="L257" i="24"/>
  <c r="J223" i="24"/>
  <c r="L222" i="24"/>
  <c r="L566" i="24"/>
  <c r="J1146" i="24"/>
  <c r="L1144" i="24"/>
  <c r="J879" i="24"/>
  <c r="L874" i="24"/>
  <c r="J878" i="24"/>
  <c r="L873" i="24"/>
  <c r="J514" i="24"/>
  <c r="L513" i="24"/>
  <c r="J383" i="24"/>
  <c r="L382" i="24"/>
  <c r="J943" i="24"/>
  <c r="L942" i="24"/>
  <c r="J422" i="24"/>
  <c r="L421" i="24"/>
  <c r="J270" i="24"/>
  <c r="L265" i="24"/>
  <c r="K1066" i="24"/>
  <c r="L1065" i="24"/>
  <c r="J880" i="24"/>
  <c r="L875" i="24"/>
  <c r="J570" i="24"/>
  <c r="L569" i="24"/>
  <c r="L573" i="24"/>
  <c r="K344" i="24"/>
  <c r="K346" i="24" s="1"/>
  <c r="K347" i="24" s="1"/>
  <c r="K348" i="24" s="1"/>
  <c r="K349" i="24" s="1"/>
  <c r="K350" i="24" s="1"/>
  <c r="K352" i="24" s="1"/>
  <c r="K353" i="24" s="1"/>
  <c r="K354" i="24" s="1"/>
  <c r="K343" i="24"/>
  <c r="K974" i="24"/>
  <c r="K976" i="24" s="1"/>
  <c r="K977" i="24" s="1"/>
  <c r="K978" i="24" s="1"/>
  <c r="K979" i="24" s="1"/>
  <c r="K980" i="24" s="1"/>
  <c r="K982" i="24" s="1"/>
  <c r="K983" i="24" s="1"/>
  <c r="K985" i="24" s="1"/>
  <c r="K986" i="24" s="1"/>
  <c r="K987" i="24" s="1"/>
  <c r="K988" i="24" s="1"/>
  <c r="K989" i="24" s="1"/>
  <c r="K991" i="24" s="1"/>
  <c r="K992" i="24" s="1"/>
  <c r="K993" i="24" s="1"/>
  <c r="K973" i="24"/>
  <c r="K1160" i="24"/>
  <c r="K1162" i="24" s="1"/>
  <c r="K1161" i="24"/>
  <c r="K1163" i="24" s="1"/>
  <c r="K1165" i="24" s="1"/>
  <c r="K1166" i="24" s="1"/>
  <c r="K1167" i="24" s="1"/>
  <c r="K1168" i="24" s="1"/>
  <c r="K1170" i="24" s="1"/>
  <c r="K1171" i="24" s="1"/>
  <c r="K1172" i="24" s="1"/>
  <c r="K1173" i="24" s="1"/>
  <c r="K1174" i="24" s="1"/>
  <c r="K1176" i="24" s="1"/>
  <c r="K1178" i="24" s="1"/>
  <c r="K1179" i="24" s="1"/>
  <c r="J571" i="24" l="1"/>
  <c r="L571" i="24" s="1"/>
  <c r="L570" i="24"/>
  <c r="K1067" i="24"/>
  <c r="L1066" i="24"/>
  <c r="J423" i="24"/>
  <c r="L422" i="24"/>
  <c r="J395" i="24"/>
  <c r="L383" i="24"/>
  <c r="J883" i="24"/>
  <c r="L878" i="24"/>
  <c r="J1147" i="24"/>
  <c r="L1146" i="24"/>
  <c r="J267" i="24"/>
  <c r="L262" i="24"/>
  <c r="J509" i="24"/>
  <c r="L509" i="24" s="1"/>
  <c r="L508" i="24"/>
  <c r="J266" i="24"/>
  <c r="L261" i="24"/>
  <c r="J593" i="24"/>
  <c r="L591" i="24"/>
  <c r="J848" i="24"/>
  <c r="L847" i="24"/>
  <c r="J232" i="24"/>
  <c r="L232" i="24" s="1"/>
  <c r="L231" i="24"/>
  <c r="J885" i="24"/>
  <c r="L880" i="24"/>
  <c r="J275" i="24"/>
  <c r="L270" i="24"/>
  <c r="J945" i="24"/>
  <c r="L943" i="24"/>
  <c r="L514" i="24"/>
  <c r="J516" i="24"/>
  <c r="L516" i="24" s="1"/>
  <c r="J517" i="24"/>
  <c r="J884" i="24"/>
  <c r="L879" i="24"/>
  <c r="J663" i="24"/>
  <c r="L663" i="24" s="1"/>
  <c r="L662" i="24"/>
  <c r="J224" i="24"/>
  <c r="L223" i="24"/>
  <c r="J651" i="24"/>
  <c r="L650" i="24"/>
  <c r="J268" i="24"/>
  <c r="L263" i="24"/>
  <c r="J328" i="24"/>
  <c r="L326" i="24"/>
  <c r="J447" i="24"/>
  <c r="L446" i="24"/>
  <c r="J842" i="24"/>
  <c r="L842" i="24" s="1"/>
  <c r="L841" i="24"/>
  <c r="J1218" i="24"/>
  <c r="L1216" i="24"/>
  <c r="K357" i="24"/>
  <c r="K359" i="24" s="1"/>
  <c r="K360" i="24" s="1"/>
  <c r="K361" i="24" s="1"/>
  <c r="K362" i="24" s="1"/>
  <c r="K363" i="24" s="1"/>
  <c r="K365" i="24" s="1"/>
  <c r="K366" i="24" s="1"/>
  <c r="K368" i="24" s="1"/>
  <c r="K369" i="24" s="1"/>
  <c r="K370" i="24" s="1"/>
  <c r="K371" i="24" s="1"/>
  <c r="K372" i="24" s="1"/>
  <c r="K374" i="24" s="1"/>
  <c r="K375" i="24" s="1"/>
  <c r="K376" i="24" s="1"/>
  <c r="K356" i="24"/>
  <c r="J329" i="24" l="1"/>
  <c r="L328" i="24"/>
  <c r="J652" i="24"/>
  <c r="L651" i="24"/>
  <c r="J280" i="24"/>
  <c r="L275" i="24"/>
  <c r="J594" i="24"/>
  <c r="L593" i="24"/>
  <c r="J1148" i="24"/>
  <c r="L1147" i="24"/>
  <c r="J396" i="24"/>
  <c r="L395" i="24"/>
  <c r="K1069" i="24"/>
  <c r="L1067" i="24"/>
  <c r="J1220" i="24"/>
  <c r="L1218" i="24"/>
  <c r="J448" i="24"/>
  <c r="L447" i="24"/>
  <c r="J273" i="24"/>
  <c r="L268" i="24"/>
  <c r="J225" i="24"/>
  <c r="L225" i="24" s="1"/>
  <c r="L224" i="24"/>
  <c r="J889" i="24"/>
  <c r="L884" i="24"/>
  <c r="J519" i="24"/>
  <c r="L517" i="24"/>
  <c r="J946" i="24"/>
  <c r="L945" i="24"/>
  <c r="J890" i="24"/>
  <c r="L885" i="24"/>
  <c r="J849" i="24"/>
  <c r="L849" i="24" s="1"/>
  <c r="L848" i="24"/>
  <c r="J271" i="24"/>
  <c r="L266" i="24"/>
  <c r="J272" i="24"/>
  <c r="L267" i="24"/>
  <c r="J888" i="24"/>
  <c r="L883" i="24"/>
  <c r="J425" i="24"/>
  <c r="L423" i="24"/>
  <c r="J426" i="24" l="1"/>
  <c r="L425" i="24"/>
  <c r="J277" i="24"/>
  <c r="L272" i="24"/>
  <c r="J947" i="24"/>
  <c r="L946" i="24"/>
  <c r="J894" i="24"/>
  <c r="L889" i="24"/>
  <c r="J278" i="24"/>
  <c r="L273" i="24"/>
  <c r="J1221" i="24"/>
  <c r="L1220" i="24"/>
  <c r="J397" i="24"/>
  <c r="L396" i="24"/>
  <c r="J599" i="24"/>
  <c r="L594" i="24"/>
  <c r="J653" i="24"/>
  <c r="L652" i="24"/>
  <c r="J893" i="24"/>
  <c r="L888" i="24"/>
  <c r="J276" i="24"/>
  <c r="L271" i="24"/>
  <c r="J895" i="24"/>
  <c r="L890" i="24"/>
  <c r="J520" i="24"/>
  <c r="L519" i="24"/>
  <c r="J449" i="24"/>
  <c r="L448" i="24"/>
  <c r="K1070" i="24"/>
  <c r="L1069" i="24"/>
  <c r="J1149" i="24"/>
  <c r="L1148" i="24"/>
  <c r="J285" i="24"/>
  <c r="L280" i="24"/>
  <c r="J330" i="24"/>
  <c r="L329" i="24"/>
  <c r="J331" i="24" l="1"/>
  <c r="L330" i="24"/>
  <c r="J1150" i="24"/>
  <c r="L1149" i="24"/>
  <c r="J450" i="24"/>
  <c r="L449" i="24"/>
  <c r="J900" i="24"/>
  <c r="L895" i="24"/>
  <c r="J898" i="24"/>
  <c r="L893" i="24"/>
  <c r="J600" i="24"/>
  <c r="L599" i="24"/>
  <c r="J1226" i="24"/>
  <c r="L1221" i="24"/>
  <c r="J899" i="24"/>
  <c r="L894" i="24"/>
  <c r="J282" i="24"/>
  <c r="L277" i="24"/>
  <c r="J290" i="24"/>
  <c r="L285" i="24"/>
  <c r="K1071" i="24"/>
  <c r="L1070" i="24"/>
  <c r="J521" i="24"/>
  <c r="L520" i="24"/>
  <c r="J281" i="24"/>
  <c r="L276" i="24"/>
  <c r="J654" i="24"/>
  <c r="L653" i="24"/>
  <c r="J398" i="24"/>
  <c r="L397" i="24"/>
  <c r="J283" i="24"/>
  <c r="L278" i="24"/>
  <c r="J948" i="24"/>
  <c r="L947" i="24"/>
  <c r="J427" i="24"/>
  <c r="L426" i="24"/>
  <c r="J428" i="24" l="1"/>
  <c r="L427" i="24"/>
  <c r="J288" i="24"/>
  <c r="L283" i="24"/>
  <c r="J655" i="24"/>
  <c r="L654" i="24"/>
  <c r="J522" i="24"/>
  <c r="L521" i="24"/>
  <c r="J295" i="24"/>
  <c r="L290" i="24"/>
  <c r="J904" i="24"/>
  <c r="L899" i="24"/>
  <c r="J601" i="24"/>
  <c r="L600" i="24"/>
  <c r="J905" i="24"/>
  <c r="L900" i="24"/>
  <c r="J1151" i="24"/>
  <c r="L1150" i="24"/>
  <c r="J949" i="24"/>
  <c r="L948" i="24"/>
  <c r="J399" i="24"/>
  <c r="L398" i="24"/>
  <c r="J286" i="24"/>
  <c r="L281" i="24"/>
  <c r="K1072" i="24"/>
  <c r="L1071" i="24"/>
  <c r="J287" i="24"/>
  <c r="L282" i="24"/>
  <c r="J1227" i="24"/>
  <c r="L1226" i="24"/>
  <c r="J903" i="24"/>
  <c r="L898" i="24"/>
  <c r="J452" i="24"/>
  <c r="L450" i="24"/>
  <c r="J332" i="24"/>
  <c r="L331" i="24"/>
  <c r="L332" i="24" l="1"/>
  <c r="J337" i="24"/>
  <c r="L337" i="24" s="1"/>
  <c r="J334" i="24"/>
  <c r="L334" i="24" s="1"/>
  <c r="J335" i="24"/>
  <c r="J908" i="24"/>
  <c r="L903" i="24"/>
  <c r="J292" i="24"/>
  <c r="L287" i="24"/>
  <c r="J291" i="24"/>
  <c r="L286" i="24"/>
  <c r="L949" i="24"/>
  <c r="J952" i="24"/>
  <c r="J954" i="24"/>
  <c r="L954" i="24" s="1"/>
  <c r="J951" i="24"/>
  <c r="L951" i="24" s="1"/>
  <c r="J910" i="24"/>
  <c r="L905" i="24"/>
  <c r="J909" i="24"/>
  <c r="L904" i="24"/>
  <c r="J523" i="24"/>
  <c r="L522" i="24"/>
  <c r="J293" i="24"/>
  <c r="L288" i="24"/>
  <c r="J453" i="24"/>
  <c r="L452" i="24"/>
  <c r="J1228" i="24"/>
  <c r="L1227" i="24"/>
  <c r="K1074" i="24"/>
  <c r="L1072" i="24"/>
  <c r="J400" i="24"/>
  <c r="L399" i="24"/>
  <c r="J1153" i="24"/>
  <c r="L1151" i="24"/>
  <c r="J602" i="24"/>
  <c r="L601" i="24"/>
  <c r="J300" i="24"/>
  <c r="L295" i="24"/>
  <c r="J656" i="24"/>
  <c r="L656" i="24" s="1"/>
  <c r="L655" i="24"/>
  <c r="J430" i="24"/>
  <c r="L428" i="24"/>
  <c r="J955" i="24" l="1"/>
  <c r="L952" i="24"/>
  <c r="J338" i="24"/>
  <c r="L335" i="24"/>
  <c r="J431" i="24"/>
  <c r="L430" i="24"/>
  <c r="J305" i="24"/>
  <c r="L300" i="24"/>
  <c r="J1155" i="24"/>
  <c r="L1153" i="24"/>
  <c r="K1075" i="24"/>
  <c r="L1074" i="24"/>
  <c r="J454" i="24"/>
  <c r="L453" i="24"/>
  <c r="J524" i="24"/>
  <c r="L523" i="24"/>
  <c r="J915" i="24"/>
  <c r="L910" i="24"/>
  <c r="J297" i="24"/>
  <c r="L292" i="24"/>
  <c r="J603" i="24"/>
  <c r="L603" i="24" s="1"/>
  <c r="L602" i="24"/>
  <c r="J401" i="24"/>
  <c r="L401" i="24" s="1"/>
  <c r="L400" i="24"/>
  <c r="J1229" i="24"/>
  <c r="L1228" i="24"/>
  <c r="J298" i="24"/>
  <c r="L293" i="24"/>
  <c r="J914" i="24"/>
  <c r="L909" i="24"/>
  <c r="J296" i="24"/>
  <c r="L291" i="24"/>
  <c r="J913" i="24"/>
  <c r="L908" i="24"/>
  <c r="J301" i="24" l="1"/>
  <c r="L296" i="24"/>
  <c r="J303" i="24"/>
  <c r="L298" i="24"/>
  <c r="J302" i="24"/>
  <c r="L297" i="24"/>
  <c r="J526" i="24"/>
  <c r="L524" i="24"/>
  <c r="K1076" i="24"/>
  <c r="L1075" i="24"/>
  <c r="J310" i="24"/>
  <c r="L305" i="24"/>
  <c r="J339" i="24"/>
  <c r="L338" i="24"/>
  <c r="J918" i="24"/>
  <c r="L913" i="24"/>
  <c r="J919" i="24"/>
  <c r="L914" i="24"/>
  <c r="J1230" i="24"/>
  <c r="L1230" i="24" s="1"/>
  <c r="L1229" i="24"/>
  <c r="J920" i="24"/>
  <c r="L915" i="24"/>
  <c r="J455" i="24"/>
  <c r="L454" i="24"/>
  <c r="J1156" i="24"/>
  <c r="L1155" i="24"/>
  <c r="J433" i="24"/>
  <c r="L431" i="24"/>
  <c r="J956" i="24"/>
  <c r="L955" i="24"/>
  <c r="J434" i="24" l="1"/>
  <c r="L433" i="24"/>
  <c r="J457" i="24"/>
  <c r="L455" i="24"/>
  <c r="J923" i="24"/>
  <c r="L918" i="24"/>
  <c r="J315" i="24"/>
  <c r="L315" i="24" s="1"/>
  <c r="L310" i="24"/>
  <c r="J528" i="24"/>
  <c r="L526" i="24"/>
  <c r="J308" i="24"/>
  <c r="L303" i="24"/>
  <c r="J957" i="24"/>
  <c r="L956" i="24"/>
  <c r="J1157" i="24"/>
  <c r="L1156" i="24"/>
  <c r="J925" i="24"/>
  <c r="L920" i="24"/>
  <c r="J924" i="24"/>
  <c r="L919" i="24"/>
  <c r="J340" i="24"/>
  <c r="L339" i="24"/>
  <c r="K1077" i="24"/>
  <c r="L1076" i="24"/>
  <c r="J307" i="24"/>
  <c r="L302" i="24"/>
  <c r="J306" i="24"/>
  <c r="L301" i="24"/>
  <c r="J311" i="24" l="1"/>
  <c r="L306" i="24"/>
  <c r="K1078" i="24"/>
  <c r="L1077" i="24"/>
  <c r="J929" i="24"/>
  <c r="L924" i="24"/>
  <c r="J1159" i="24"/>
  <c r="L1157" i="24"/>
  <c r="J313" i="24"/>
  <c r="L308" i="24"/>
  <c r="J458" i="24"/>
  <c r="L457" i="24"/>
  <c r="J312" i="24"/>
  <c r="L307" i="24"/>
  <c r="J341" i="24"/>
  <c r="L340" i="24"/>
  <c r="J930" i="24"/>
  <c r="L925" i="24"/>
  <c r="J958" i="24"/>
  <c r="L957" i="24"/>
  <c r="J529" i="24"/>
  <c r="L528" i="24"/>
  <c r="J928" i="24"/>
  <c r="L923" i="24"/>
  <c r="J435" i="24"/>
  <c r="L434" i="24"/>
  <c r="J933" i="24" l="1"/>
  <c r="L933" i="24" s="1"/>
  <c r="L928" i="24"/>
  <c r="L958" i="24"/>
  <c r="J960" i="24"/>
  <c r="L960" i="24" s="1"/>
  <c r="J961" i="24"/>
  <c r="L341" i="24"/>
  <c r="J343" i="24"/>
  <c r="L343" i="24" s="1"/>
  <c r="J344" i="24"/>
  <c r="J459" i="24"/>
  <c r="L458" i="24"/>
  <c r="L1159" i="24"/>
  <c r="J1160" i="24"/>
  <c r="J1161" i="24"/>
  <c r="K1080" i="24"/>
  <c r="L1078" i="24"/>
  <c r="J436" i="24"/>
  <c r="L435" i="24"/>
  <c r="J530" i="24"/>
  <c r="L529" i="24"/>
  <c r="J935" i="24"/>
  <c r="L935" i="24" s="1"/>
  <c r="L930" i="24"/>
  <c r="J317" i="24"/>
  <c r="L317" i="24" s="1"/>
  <c r="L312" i="24"/>
  <c r="J318" i="24"/>
  <c r="L318" i="24" s="1"/>
  <c r="L313" i="24"/>
  <c r="J934" i="24"/>
  <c r="L934" i="24" s="1"/>
  <c r="L929" i="24"/>
  <c r="J316" i="24"/>
  <c r="L316" i="24" s="1"/>
  <c r="L311" i="24"/>
  <c r="J1162" i="24" l="1"/>
  <c r="L1162" i="24" s="1"/>
  <c r="L1160" i="24"/>
  <c r="J437" i="24"/>
  <c r="L436" i="24"/>
  <c r="J346" i="24"/>
  <c r="L344" i="24"/>
  <c r="J532" i="24"/>
  <c r="L530" i="24"/>
  <c r="K1082" i="24"/>
  <c r="L1080" i="24"/>
  <c r="J1163" i="24"/>
  <c r="L1161" i="24"/>
  <c r="J460" i="24"/>
  <c r="L459" i="24"/>
  <c r="J963" i="24"/>
  <c r="L961" i="24"/>
  <c r="J964" i="24" l="1"/>
  <c r="L963" i="24"/>
  <c r="J1165" i="24"/>
  <c r="L1163" i="24"/>
  <c r="L532" i="24"/>
  <c r="J534" i="24"/>
  <c r="J533" i="24"/>
  <c r="J438" i="24"/>
  <c r="L437" i="24"/>
  <c r="J461" i="24"/>
  <c r="L460" i="24"/>
  <c r="K1083" i="24"/>
  <c r="L1083" i="24" s="1"/>
  <c r="L1082" i="24"/>
  <c r="J347" i="24"/>
  <c r="L346" i="24"/>
  <c r="J535" i="24" l="1"/>
  <c r="L535" i="24" s="1"/>
  <c r="L533" i="24"/>
  <c r="J1166" i="24"/>
  <c r="L1165" i="24"/>
  <c r="J440" i="24"/>
  <c r="L440" i="24" s="1"/>
  <c r="L438" i="24"/>
  <c r="J348" i="24"/>
  <c r="L347" i="24"/>
  <c r="J463" i="24"/>
  <c r="L461" i="24"/>
  <c r="J536" i="24"/>
  <c r="L534" i="24"/>
  <c r="J965" i="24"/>
  <c r="L964" i="24"/>
  <c r="J538" i="24" l="1"/>
  <c r="L536" i="24"/>
  <c r="J349" i="24"/>
  <c r="L348" i="24"/>
  <c r="J1167" i="24"/>
  <c r="L1166" i="24"/>
  <c r="J966" i="24"/>
  <c r="L965" i="24"/>
  <c r="J465" i="24"/>
  <c r="L463" i="24"/>
  <c r="J967" i="24" l="1"/>
  <c r="L966" i="24"/>
  <c r="J350" i="24"/>
  <c r="L349" i="24"/>
  <c r="J466" i="24"/>
  <c r="L466" i="24" s="1"/>
  <c r="L465" i="24"/>
  <c r="J1168" i="24"/>
  <c r="L1167" i="24"/>
  <c r="J539" i="24"/>
  <c r="L538" i="24"/>
  <c r="J1170" i="24" l="1"/>
  <c r="L1168" i="24"/>
  <c r="J352" i="24"/>
  <c r="L350" i="24"/>
  <c r="J540" i="24"/>
  <c r="L539" i="24"/>
  <c r="J969" i="24"/>
  <c r="L967" i="24"/>
  <c r="J353" i="24" l="1"/>
  <c r="L352" i="24"/>
  <c r="J970" i="24"/>
  <c r="L969" i="24"/>
  <c r="J541" i="24"/>
  <c r="L540" i="24"/>
  <c r="J1171" i="24"/>
  <c r="L1170" i="24"/>
  <c r="J971" i="24" l="1"/>
  <c r="L970" i="24"/>
  <c r="J1172" i="24"/>
  <c r="L1171" i="24"/>
  <c r="J543" i="24"/>
  <c r="L541" i="24"/>
  <c r="J354" i="24"/>
  <c r="L353" i="24"/>
  <c r="L354" i="24" l="1"/>
  <c r="J356" i="24"/>
  <c r="L356" i="24" s="1"/>
  <c r="J357" i="24"/>
  <c r="J1173" i="24"/>
  <c r="L1172" i="24"/>
  <c r="J544" i="24"/>
  <c r="L543" i="24"/>
  <c r="L971" i="24"/>
  <c r="J974" i="24"/>
  <c r="J973" i="24"/>
  <c r="L973" i="24" s="1"/>
  <c r="J1174" i="24" l="1"/>
  <c r="L1173" i="24"/>
  <c r="J359" i="24"/>
  <c r="L357" i="24"/>
  <c r="J545" i="24"/>
  <c r="L544" i="24"/>
  <c r="J976" i="24"/>
  <c r="L974" i="24"/>
  <c r="J977" i="24" l="1"/>
  <c r="L976" i="24"/>
  <c r="J360" i="24"/>
  <c r="L359" i="24"/>
  <c r="J546" i="24"/>
  <c r="L545" i="24"/>
  <c r="J1176" i="24"/>
  <c r="L1174" i="24"/>
  <c r="J1178" i="24" l="1"/>
  <c r="L1176" i="24"/>
  <c r="J361" i="24"/>
  <c r="L360" i="24"/>
  <c r="J547" i="24"/>
  <c r="L546" i="24"/>
  <c r="J978" i="24"/>
  <c r="L977" i="24"/>
  <c r="J979" i="24" l="1"/>
  <c r="L978" i="24"/>
  <c r="J362" i="24"/>
  <c r="L361" i="24"/>
  <c r="J549" i="24"/>
  <c r="L547" i="24"/>
  <c r="J1179" i="24"/>
  <c r="L1179" i="24" s="1"/>
  <c r="L1178" i="24"/>
  <c r="J551" i="24" l="1"/>
  <c r="L549" i="24"/>
  <c r="J980" i="24"/>
  <c r="L979" i="24"/>
  <c r="J363" i="24"/>
  <c r="L362" i="24"/>
  <c r="J982" i="24" l="1"/>
  <c r="L980" i="24"/>
  <c r="J365" i="24"/>
  <c r="L363" i="24"/>
  <c r="J552" i="24"/>
  <c r="L552" i="24" s="1"/>
  <c r="L551" i="24"/>
  <c r="J366" i="24" l="1"/>
  <c r="L365" i="24"/>
  <c r="J983" i="24"/>
  <c r="L982" i="24"/>
  <c r="J985" i="24" l="1"/>
  <c r="L983" i="24"/>
  <c r="J368" i="24"/>
  <c r="L366" i="24"/>
  <c r="J986" i="24" l="1"/>
  <c r="L985" i="24"/>
  <c r="J369" i="24"/>
  <c r="L368" i="24"/>
  <c r="J370" i="24" l="1"/>
  <c r="L369" i="24"/>
  <c r="J987" i="24"/>
  <c r="L986" i="24"/>
  <c r="J371" i="24" l="1"/>
  <c r="L370" i="24"/>
  <c r="J988" i="24"/>
  <c r="L987" i="24"/>
  <c r="J989" i="24" l="1"/>
  <c r="L988" i="24"/>
  <c r="J372" i="24"/>
  <c r="L371" i="24"/>
  <c r="J374" i="24" l="1"/>
  <c r="L372" i="24"/>
  <c r="J991" i="24"/>
  <c r="L989" i="24"/>
  <c r="J992" i="24" l="1"/>
  <c r="L991" i="24"/>
  <c r="J375" i="24"/>
  <c r="L374" i="24"/>
  <c r="J376" i="24" l="1"/>
  <c r="L376" i="24" s="1"/>
  <c r="L375" i="24"/>
  <c r="J993" i="24"/>
  <c r="L993" i="24" s="1"/>
  <c r="L992" i="24"/>
  <c r="N783" i="24" l="1"/>
  <c r="N1032" i="24"/>
  <c r="P873" i="24"/>
  <c r="P256" i="24"/>
  <c r="A1289" i="24"/>
  <c r="A1288" i="24"/>
  <c r="A1287" i="24"/>
  <c r="A1285" i="24"/>
  <c r="A1283" i="24"/>
  <c r="A1282" i="24"/>
  <c r="A1281" i="24"/>
  <c r="A1280" i="24"/>
  <c r="A1279" i="24"/>
  <c r="A1277" i="24"/>
  <c r="A1276" i="24"/>
  <c r="A1275" i="24"/>
  <c r="A1274" i="24"/>
  <c r="A1273" i="24"/>
  <c r="A1272" i="24"/>
  <c r="A1270" i="24"/>
  <c r="A1269" i="24"/>
  <c r="A1268" i="24"/>
  <c r="A1265" i="24"/>
  <c r="A1264" i="24"/>
  <c r="A1263" i="24"/>
  <c r="A1262" i="24"/>
  <c r="A1260" i="24"/>
  <c r="A1259" i="24"/>
  <c r="A1258" i="24"/>
  <c r="A1257" i="24"/>
  <c r="A1255" i="24"/>
  <c r="A1254" i="24"/>
  <c r="A1253" i="24"/>
  <c r="A1251" i="24"/>
  <c r="A1250" i="24"/>
  <c r="A1249" i="24"/>
  <c r="A1248" i="24"/>
  <c r="A1246" i="24"/>
  <c r="A1245" i="24"/>
  <c r="A1244" i="24"/>
  <c r="A1242" i="24"/>
  <c r="A1241" i="24"/>
  <c r="A1240" i="24"/>
  <c r="A1238" i="24"/>
  <c r="A1237" i="24"/>
  <c r="A1236" i="24"/>
  <c r="A1234" i="24"/>
  <c r="A1233" i="24"/>
  <c r="A1230" i="24"/>
  <c r="A1229" i="24"/>
  <c r="A1228" i="24"/>
  <c r="A1227" i="24"/>
  <c r="A1226" i="24"/>
  <c r="A1224" i="24"/>
  <c r="A1223" i="24"/>
  <c r="A1222" i="24"/>
  <c r="A1221" i="24"/>
  <c r="A1220" i="24"/>
  <c r="A1218" i="24"/>
  <c r="A1216" i="24"/>
  <c r="A1214" i="24"/>
  <c r="A1213" i="24"/>
  <c r="A1211" i="24"/>
  <c r="A1210" i="24"/>
  <c r="A1208" i="24"/>
  <c r="A1207" i="24"/>
  <c r="A1206" i="24"/>
  <c r="A1205" i="24"/>
  <c r="A1204" i="24"/>
  <c r="A1201" i="24"/>
  <c r="A1200" i="24"/>
  <c r="A1198" i="24"/>
  <c r="A1197" i="24"/>
  <c r="A1196" i="24"/>
  <c r="A1195" i="24"/>
  <c r="A1194" i="24"/>
  <c r="A1193" i="24"/>
  <c r="A1191" i="24"/>
  <c r="A1190" i="24"/>
  <c r="A1188" i="24"/>
  <c r="A1187" i="24"/>
  <c r="A1185" i="24"/>
  <c r="A1184" i="24"/>
  <c r="A1182" i="24"/>
  <c r="A1181" i="24"/>
  <c r="A1179" i="24"/>
  <c r="A1178" i="24"/>
  <c r="A1176" i="24"/>
  <c r="A1174" i="24"/>
  <c r="A1173" i="24"/>
  <c r="A1172" i="24"/>
  <c r="A1171" i="24"/>
  <c r="A1170" i="24"/>
  <c r="A1168" i="24"/>
  <c r="A1167" i="24"/>
  <c r="A1166" i="24"/>
  <c r="A1165" i="24"/>
  <c r="A1163" i="24"/>
  <c r="A1162" i="24"/>
  <c r="A1161" i="24"/>
  <c r="A1160" i="24"/>
  <c r="A1159" i="24"/>
  <c r="A1157" i="24"/>
  <c r="A1156" i="24"/>
  <c r="A1155" i="24"/>
  <c r="A1153" i="24"/>
  <c r="A1151" i="24"/>
  <c r="A1150" i="24"/>
  <c r="A1149" i="24"/>
  <c r="A1148" i="24"/>
  <c r="A1147" i="24"/>
  <c r="A1146" i="24"/>
  <c r="A1144" i="24"/>
  <c r="A1143" i="24"/>
  <c r="A1141" i="24"/>
  <c r="A1140" i="24"/>
  <c r="A1139" i="24"/>
  <c r="A1138" i="24"/>
  <c r="A1136" i="24"/>
  <c r="A1135" i="24"/>
  <c r="A1134" i="24"/>
  <c r="A1133" i="24"/>
  <c r="A1132" i="24"/>
  <c r="A1131" i="24"/>
  <c r="A1128" i="24"/>
  <c r="A1127" i="24"/>
  <c r="A1125" i="24"/>
  <c r="A1124" i="24"/>
  <c r="A1123" i="24"/>
  <c r="A1121" i="24"/>
  <c r="A1120" i="24"/>
  <c r="A1118" i="24"/>
  <c r="A1117" i="24"/>
  <c r="A1115" i="24"/>
  <c r="A1114" i="24"/>
  <c r="A1113" i="24"/>
  <c r="A1112" i="24"/>
  <c r="A1111" i="24"/>
  <c r="A1110" i="24"/>
  <c r="A1109" i="24"/>
  <c r="A1108" i="24"/>
  <c r="A1107" i="24"/>
  <c r="A1105" i="24"/>
  <c r="A1104" i="24"/>
  <c r="A1102" i="24"/>
  <c r="A1101" i="24"/>
  <c r="A1100" i="24"/>
  <c r="A1099" i="24"/>
  <c r="A1098" i="24"/>
  <c r="A1097" i="24"/>
  <c r="A1096" i="24"/>
  <c r="A1095" i="24"/>
  <c r="A1094" i="24"/>
  <c r="A1092" i="24"/>
  <c r="A1091" i="24"/>
  <c r="A1089" i="24"/>
  <c r="A1088" i="24"/>
  <c r="A1086" i="24"/>
  <c r="A1085" i="24"/>
  <c r="A1083" i="24"/>
  <c r="A1082" i="24"/>
  <c r="A1080" i="24"/>
  <c r="A1078" i="24"/>
  <c r="A1077" i="24"/>
  <c r="A1076" i="24"/>
  <c r="A1075" i="24"/>
  <c r="A1074" i="24"/>
  <c r="A1072" i="24"/>
  <c r="A1071" i="24"/>
  <c r="A1070" i="24"/>
  <c r="A1069" i="24"/>
  <c r="A1067" i="24"/>
  <c r="A1066" i="24"/>
  <c r="A1065" i="24"/>
  <c r="A1064" i="24"/>
  <c r="A1063" i="24"/>
  <c r="A1061" i="24"/>
  <c r="A1060" i="24"/>
  <c r="A1059" i="24"/>
  <c r="A1057" i="24"/>
  <c r="A1055" i="24"/>
  <c r="A1054" i="24"/>
  <c r="A1053" i="24"/>
  <c r="A1052" i="24"/>
  <c r="A1051" i="24"/>
  <c r="A1050" i="24"/>
  <c r="A1048" i="24"/>
  <c r="A1047" i="24"/>
  <c r="A1045" i="24"/>
  <c r="A1044" i="24"/>
  <c r="A1043" i="24"/>
  <c r="A1042" i="24"/>
  <c r="A1040" i="24"/>
  <c r="A1039" i="24"/>
  <c r="A1038" i="24"/>
  <c r="A1037" i="24"/>
  <c r="A1036" i="24"/>
  <c r="A1035" i="24"/>
  <c r="A1032" i="24"/>
  <c r="A1031" i="24"/>
  <c r="A1029" i="24"/>
  <c r="A1028" i="24"/>
  <c r="A1027" i="24"/>
  <c r="A1025" i="24"/>
  <c r="A1024" i="24"/>
  <c r="A1023" i="24"/>
  <c r="A1022" i="24"/>
  <c r="A1021" i="24"/>
  <c r="A1020" i="24"/>
  <c r="A1018" i="24"/>
  <c r="A1017" i="24"/>
  <c r="A1016" i="24"/>
  <c r="A1015" i="24"/>
  <c r="A1014" i="24"/>
  <c r="A1013" i="24"/>
  <c r="A1012" i="24"/>
  <c r="A1011" i="24"/>
  <c r="A1009" i="24"/>
  <c r="A1008" i="24"/>
  <c r="A1007" i="24"/>
  <c r="A1005" i="24"/>
  <c r="A1004" i="24"/>
  <c r="A1003" i="24"/>
  <c r="A1001" i="24"/>
  <c r="A1000" i="24"/>
  <c r="A999" i="24"/>
  <c r="A996" i="24"/>
  <c r="A995" i="24"/>
  <c r="A993" i="24"/>
  <c r="A992" i="24"/>
  <c r="A991" i="24"/>
  <c r="A989" i="24"/>
  <c r="A988" i="24"/>
  <c r="A987" i="24"/>
  <c r="A986" i="24"/>
  <c r="A985" i="24"/>
  <c r="A983" i="24"/>
  <c r="A982" i="24"/>
  <c r="A980" i="24"/>
  <c r="A979" i="24"/>
  <c r="A978" i="24"/>
  <c r="A977" i="24"/>
  <c r="A976" i="24"/>
  <c r="A974" i="24"/>
  <c r="A973" i="24"/>
  <c r="A971" i="24"/>
  <c r="A970" i="24"/>
  <c r="A969" i="24"/>
  <c r="A967" i="24"/>
  <c r="A966" i="24"/>
  <c r="A965" i="24"/>
  <c r="A964" i="24"/>
  <c r="A963" i="24"/>
  <c r="A961" i="24"/>
  <c r="A960" i="24"/>
  <c r="A958" i="24"/>
  <c r="A957" i="24"/>
  <c r="A956" i="24"/>
  <c r="A955" i="24"/>
  <c r="A954" i="24"/>
  <c r="A952" i="24"/>
  <c r="A951" i="24"/>
  <c r="A949" i="24"/>
  <c r="A948" i="24"/>
  <c r="A947" i="24"/>
  <c r="A946" i="24"/>
  <c r="A945" i="24"/>
  <c r="A943" i="24"/>
  <c r="A942" i="24"/>
  <c r="A940" i="24"/>
  <c r="A939" i="24"/>
  <c r="A938" i="24"/>
  <c r="A937" i="24"/>
  <c r="A935" i="24"/>
  <c r="A934" i="24"/>
  <c r="A933" i="24"/>
  <c r="A932" i="24"/>
  <c r="A930" i="24"/>
  <c r="A929" i="24"/>
  <c r="A928" i="24"/>
  <c r="A927" i="24"/>
  <c r="A925" i="24"/>
  <c r="A924" i="24"/>
  <c r="A923" i="24"/>
  <c r="A922" i="24"/>
  <c r="A920" i="24"/>
  <c r="A919" i="24"/>
  <c r="A918" i="24"/>
  <c r="A917" i="24"/>
  <c r="A915" i="24"/>
  <c r="A914" i="24"/>
  <c r="A913" i="24"/>
  <c r="A912" i="24"/>
  <c r="A910" i="24"/>
  <c r="A909" i="24"/>
  <c r="A908" i="24"/>
  <c r="A907" i="24"/>
  <c r="A905" i="24"/>
  <c r="A904" i="24"/>
  <c r="A903" i="24"/>
  <c r="A902" i="24"/>
  <c r="A900" i="24"/>
  <c r="A899" i="24"/>
  <c r="A898" i="24"/>
  <c r="A897" i="24"/>
  <c r="A895" i="24"/>
  <c r="A894" i="24"/>
  <c r="A893" i="24"/>
  <c r="A892" i="24"/>
  <c r="A890" i="24"/>
  <c r="A889" i="24"/>
  <c r="A888" i="24"/>
  <c r="A887" i="24"/>
  <c r="A885" i="24"/>
  <c r="A884" i="24"/>
  <c r="A883" i="24"/>
  <c r="A882" i="24"/>
  <c r="A880" i="24"/>
  <c r="A879" i="24"/>
  <c r="A878" i="24"/>
  <c r="A877" i="24"/>
  <c r="A875" i="24"/>
  <c r="A874" i="24"/>
  <c r="A873" i="24"/>
  <c r="A872" i="24"/>
  <c r="A870" i="24"/>
  <c r="A869" i="24"/>
  <c r="A868" i="24"/>
  <c r="A867" i="24"/>
  <c r="A865" i="24"/>
  <c r="A864" i="24"/>
  <c r="A863" i="24"/>
  <c r="A862" i="24"/>
  <c r="A860" i="24"/>
  <c r="A858" i="24"/>
  <c r="A857" i="24"/>
  <c r="A854" i="24"/>
  <c r="A853" i="24"/>
  <c r="A852" i="24"/>
  <c r="A851" i="24"/>
  <c r="A849" i="24"/>
  <c r="A848" i="24"/>
  <c r="A847" i="24"/>
  <c r="A846" i="24"/>
  <c r="A845" i="24"/>
  <c r="A844" i="24"/>
  <c r="A842" i="24"/>
  <c r="A841" i="24"/>
  <c r="A840" i="24"/>
  <c r="A839" i="24"/>
  <c r="A838" i="24"/>
  <c r="A837" i="24"/>
  <c r="A835" i="24"/>
  <c r="A834" i="24"/>
  <c r="A833" i="24"/>
  <c r="A832" i="24"/>
  <c r="A830" i="24"/>
  <c r="A829" i="24"/>
  <c r="A828" i="24"/>
  <c r="A827" i="24"/>
  <c r="A825" i="24"/>
  <c r="A824" i="24"/>
  <c r="A822" i="24"/>
  <c r="A820" i="24"/>
  <c r="A819" i="24"/>
  <c r="A817" i="24"/>
  <c r="A816" i="24"/>
  <c r="A815" i="24"/>
  <c r="A813" i="24"/>
  <c r="A812" i="24"/>
  <c r="A811" i="24"/>
  <c r="A810" i="24"/>
  <c r="A809" i="24"/>
  <c r="A807" i="24"/>
  <c r="A806" i="24"/>
  <c r="A804" i="24"/>
  <c r="A802" i="24"/>
  <c r="A801" i="24"/>
  <c r="A799" i="24"/>
  <c r="A798" i="24"/>
  <c r="A797" i="24"/>
  <c r="A794" i="24"/>
  <c r="A793" i="24"/>
  <c r="A792" i="24"/>
  <c r="A791" i="24"/>
  <c r="A789" i="24"/>
  <c r="A788" i="24"/>
  <c r="A786" i="24"/>
  <c r="A785" i="24"/>
  <c r="A784" i="24"/>
  <c r="A783" i="24"/>
  <c r="A781" i="24"/>
  <c r="A780" i="24"/>
  <c r="A779" i="24"/>
  <c r="A778" i="24"/>
  <c r="A776" i="24"/>
  <c r="A775" i="24"/>
  <c r="A774" i="24"/>
  <c r="A773" i="24"/>
  <c r="A772" i="24"/>
  <c r="A771" i="24"/>
  <c r="A770" i="24"/>
  <c r="A769" i="24"/>
  <c r="A768" i="24"/>
  <c r="A767" i="24"/>
  <c r="A766" i="24"/>
  <c r="A765" i="24"/>
  <c r="A764" i="24"/>
  <c r="A763" i="24"/>
  <c r="A761" i="24"/>
  <c r="A760" i="24"/>
  <c r="A759" i="24"/>
  <c r="A758" i="24"/>
  <c r="A756" i="24"/>
  <c r="A755" i="24"/>
  <c r="A754" i="24"/>
  <c r="A753" i="24"/>
  <c r="A751" i="24"/>
  <c r="A750" i="24"/>
  <c r="A749" i="24"/>
  <c r="A748" i="24"/>
  <c r="A745" i="24"/>
  <c r="A744" i="24"/>
  <c r="A743" i="24"/>
  <c r="A741" i="24"/>
  <c r="A740" i="24"/>
  <c r="A739" i="24"/>
  <c r="A737" i="24"/>
  <c r="A736" i="24"/>
  <c r="A735" i="24"/>
  <c r="A733" i="24"/>
  <c r="A732" i="24"/>
  <c r="A731" i="24"/>
  <c r="A729" i="24"/>
  <c r="A728" i="24"/>
  <c r="A727" i="24"/>
  <c r="A725" i="24"/>
  <c r="A724" i="24"/>
  <c r="A723" i="24"/>
  <c r="A721" i="24"/>
  <c r="A720" i="24"/>
  <c r="A719" i="24"/>
  <c r="A717" i="24"/>
  <c r="A716" i="24"/>
  <c r="A715" i="24"/>
  <c r="A713" i="24"/>
  <c r="A712" i="24"/>
  <c r="A711" i="24"/>
  <c r="A709" i="24"/>
  <c r="A708" i="24"/>
  <c r="A707" i="24"/>
  <c r="A705" i="24"/>
  <c r="A704" i="24"/>
  <c r="A703" i="24"/>
  <c r="A701" i="24"/>
  <c r="A700" i="24"/>
  <c r="A699" i="24"/>
  <c r="A697" i="24"/>
  <c r="A696" i="24"/>
  <c r="A695" i="24"/>
  <c r="A693" i="24"/>
  <c r="A692" i="24"/>
  <c r="A691" i="24"/>
  <c r="A689" i="24"/>
  <c r="A688" i="24"/>
  <c r="A687" i="24"/>
  <c r="A685" i="24"/>
  <c r="A684" i="24"/>
  <c r="A683" i="24"/>
  <c r="A680" i="24"/>
  <c r="A679" i="24"/>
  <c r="A678" i="24"/>
  <c r="A677" i="24"/>
  <c r="A676" i="24"/>
  <c r="A675" i="24"/>
  <c r="A673" i="24"/>
  <c r="A672" i="24"/>
  <c r="A670" i="24"/>
  <c r="A669" i="24"/>
  <c r="A668" i="24"/>
  <c r="A667" i="24"/>
  <c r="A666" i="24"/>
  <c r="A665" i="24"/>
  <c r="A663" i="24"/>
  <c r="A662" i="24"/>
  <c r="A659" i="24"/>
  <c r="A658" i="24"/>
  <c r="A657" i="24"/>
  <c r="A656" i="24"/>
  <c r="A655" i="24"/>
  <c r="A654" i="24"/>
  <c r="A653" i="24"/>
  <c r="A652" i="24"/>
  <c r="A651" i="24"/>
  <c r="A650" i="24"/>
  <c r="A649" i="24"/>
  <c r="A648" i="24"/>
  <c r="A647" i="24"/>
  <c r="A646" i="24"/>
  <c r="A645" i="24"/>
  <c r="A643" i="24"/>
  <c r="A642" i="24"/>
  <c r="A641" i="24"/>
  <c r="A640" i="24"/>
  <c r="A638" i="24"/>
  <c r="A637" i="24"/>
  <c r="A636" i="24"/>
  <c r="A635" i="24"/>
  <c r="A633" i="24"/>
  <c r="A632" i="24"/>
  <c r="A631" i="24"/>
  <c r="A630" i="24"/>
  <c r="A628" i="24"/>
  <c r="A627" i="24"/>
  <c r="A626" i="24"/>
  <c r="A624" i="24"/>
  <c r="A623" i="24"/>
  <c r="A622" i="24"/>
  <c r="A621" i="24"/>
  <c r="A619" i="24"/>
  <c r="A618" i="24"/>
  <c r="A617" i="24"/>
  <c r="A615" i="24"/>
  <c r="A614" i="24"/>
  <c r="A613" i="24"/>
  <c r="A611" i="24"/>
  <c r="A610" i="24"/>
  <c r="A609" i="24"/>
  <c r="A607" i="24"/>
  <c r="A606" i="24"/>
  <c r="A603" i="24"/>
  <c r="A602" i="24"/>
  <c r="A601" i="24"/>
  <c r="A600" i="24"/>
  <c r="A599" i="24"/>
  <c r="A597" i="24"/>
  <c r="A596" i="24"/>
  <c r="A595" i="24"/>
  <c r="A594" i="24"/>
  <c r="A593" i="24"/>
  <c r="A591" i="24"/>
  <c r="A589" i="24"/>
  <c r="A587" i="24"/>
  <c r="A586" i="24"/>
  <c r="A584" i="24"/>
  <c r="A583" i="24"/>
  <c r="A581" i="24"/>
  <c r="A580" i="24"/>
  <c r="A579" i="24"/>
  <c r="A578" i="24"/>
  <c r="A577" i="24"/>
  <c r="A574" i="24"/>
  <c r="A573" i="24"/>
  <c r="A571" i="24"/>
  <c r="A570" i="24"/>
  <c r="A569" i="24"/>
  <c r="A568" i="24"/>
  <c r="A567" i="24"/>
  <c r="A566" i="24"/>
  <c r="A564" i="24"/>
  <c r="A563" i="24"/>
  <c r="A561" i="24"/>
  <c r="A560" i="24"/>
  <c r="A558" i="24"/>
  <c r="A557" i="24"/>
  <c r="A555" i="24"/>
  <c r="A554" i="24"/>
  <c r="A552" i="24"/>
  <c r="A551" i="24"/>
  <c r="A549" i="24"/>
  <c r="A547" i="24"/>
  <c r="A546" i="24"/>
  <c r="A545" i="24"/>
  <c r="A544" i="24"/>
  <c r="A543" i="24"/>
  <c r="A541" i="24"/>
  <c r="A540" i="24"/>
  <c r="A539" i="24"/>
  <c r="A538" i="24"/>
  <c r="A536" i="24"/>
  <c r="A535" i="24"/>
  <c r="A534" i="24"/>
  <c r="A533" i="24"/>
  <c r="A532" i="24"/>
  <c r="A530" i="24"/>
  <c r="A529" i="24"/>
  <c r="A528" i="24"/>
  <c r="A526" i="24"/>
  <c r="A524" i="24"/>
  <c r="A523" i="24"/>
  <c r="A522" i="24"/>
  <c r="A521" i="24"/>
  <c r="A520" i="24"/>
  <c r="A519" i="24"/>
  <c r="A517" i="24"/>
  <c r="A516" i="24"/>
  <c r="A514" i="24"/>
  <c r="A513" i="24"/>
  <c r="A512" i="24"/>
  <c r="A511" i="24"/>
  <c r="A509" i="24"/>
  <c r="A508" i="24"/>
  <c r="A507" i="24"/>
  <c r="A506" i="24"/>
  <c r="A505" i="24"/>
  <c r="A504" i="24"/>
  <c r="A501" i="24"/>
  <c r="A500" i="24"/>
  <c r="A498" i="24"/>
  <c r="A497" i="24"/>
  <c r="A496" i="24"/>
  <c r="A494" i="24"/>
  <c r="A493" i="24"/>
  <c r="A491" i="24"/>
  <c r="A490" i="24"/>
  <c r="A488" i="24"/>
  <c r="A487" i="24"/>
  <c r="A486" i="24"/>
  <c r="A485" i="24"/>
  <c r="A484" i="24"/>
  <c r="A483" i="24"/>
  <c r="A482" i="24"/>
  <c r="A481" i="24"/>
  <c r="A480" i="24"/>
  <c r="A478" i="24"/>
  <c r="A477" i="24"/>
  <c r="A475" i="24"/>
  <c r="A474" i="24"/>
  <c r="A472" i="24"/>
  <c r="A471" i="24"/>
  <c r="A469" i="24"/>
  <c r="A468" i="24"/>
  <c r="A466" i="24"/>
  <c r="A465" i="24"/>
  <c r="A463" i="24"/>
  <c r="A461" i="24"/>
  <c r="A460" i="24"/>
  <c r="A459" i="24"/>
  <c r="A458" i="24"/>
  <c r="A457" i="24"/>
  <c r="A455" i="24"/>
  <c r="A454" i="24"/>
  <c r="A453" i="24"/>
  <c r="A452" i="24"/>
  <c r="A450" i="24"/>
  <c r="A449" i="24"/>
  <c r="A448" i="24"/>
  <c r="A447" i="24"/>
  <c r="A446" i="24"/>
  <c r="A444" i="24"/>
  <c r="A443" i="24"/>
  <c r="A442" i="24"/>
  <c r="A440" i="24"/>
  <c r="A438" i="24"/>
  <c r="A437" i="24"/>
  <c r="A436" i="24"/>
  <c r="A435" i="24"/>
  <c r="A434" i="24"/>
  <c r="A433" i="24"/>
  <c r="A431" i="24"/>
  <c r="A430" i="24"/>
  <c r="A428" i="24"/>
  <c r="A427" i="24"/>
  <c r="A426" i="24"/>
  <c r="A425" i="24"/>
  <c r="A423" i="24"/>
  <c r="A422" i="24"/>
  <c r="A421" i="24"/>
  <c r="A420" i="24"/>
  <c r="A419" i="24"/>
  <c r="A418" i="24"/>
  <c r="A415" i="24"/>
  <c r="A414" i="24"/>
  <c r="A412" i="24"/>
  <c r="A411" i="24"/>
  <c r="A410" i="24"/>
  <c r="A408" i="24"/>
  <c r="A407" i="24"/>
  <c r="A406" i="24"/>
  <c r="A405" i="24"/>
  <c r="A404" i="24"/>
  <c r="A403" i="24"/>
  <c r="A402" i="24"/>
  <c r="A401" i="24"/>
  <c r="A400" i="24"/>
  <c r="A399" i="24"/>
  <c r="A398" i="24"/>
  <c r="A397" i="24"/>
  <c r="A396" i="24"/>
  <c r="A395" i="24"/>
  <c r="A394" i="24"/>
  <c r="A392" i="24"/>
  <c r="A391" i="24"/>
  <c r="A390" i="24"/>
  <c r="A388" i="24"/>
  <c r="A387" i="24"/>
  <c r="A386" i="24"/>
  <c r="A384" i="24"/>
  <c r="A383" i="24"/>
  <c r="A382" i="24"/>
  <c r="A379" i="24"/>
  <c r="A378" i="24"/>
  <c r="A376" i="24"/>
  <c r="A375" i="24"/>
  <c r="A374" i="24"/>
  <c r="A372" i="24"/>
  <c r="A371" i="24"/>
  <c r="A370" i="24"/>
  <c r="A369" i="24"/>
  <c r="A368" i="24"/>
  <c r="A366" i="24"/>
  <c r="A365" i="24"/>
  <c r="A363" i="24"/>
  <c r="A362" i="24"/>
  <c r="A361" i="24"/>
  <c r="A360" i="24"/>
  <c r="A359" i="24"/>
  <c r="A357" i="24"/>
  <c r="A356" i="24"/>
  <c r="A354" i="24"/>
  <c r="A353" i="24"/>
  <c r="A352" i="24"/>
  <c r="A350" i="24"/>
  <c r="A349" i="24"/>
  <c r="A348" i="24"/>
  <c r="A347" i="24"/>
  <c r="A346" i="24"/>
  <c r="A344" i="24"/>
  <c r="A343" i="24"/>
  <c r="A341" i="24"/>
  <c r="A340" i="24"/>
  <c r="A339" i="24"/>
  <c r="A338" i="24"/>
  <c r="A337" i="24"/>
  <c r="A335" i="24"/>
  <c r="A334" i="24"/>
  <c r="A332" i="24"/>
  <c r="A331" i="24"/>
  <c r="A330" i="24"/>
  <c r="A329" i="24"/>
  <c r="A328" i="24"/>
  <c r="A326" i="24"/>
  <c r="A325" i="24"/>
  <c r="A323" i="24"/>
  <c r="A322" i="24"/>
  <c r="A321" i="24"/>
  <c r="A320" i="24"/>
  <c r="A318" i="24"/>
  <c r="A317" i="24"/>
  <c r="A316" i="24"/>
  <c r="A315" i="24"/>
  <c r="A313" i="24"/>
  <c r="A312" i="24"/>
  <c r="A311" i="24"/>
  <c r="A310" i="24"/>
  <c r="A308" i="24"/>
  <c r="A307" i="24"/>
  <c r="A306" i="24"/>
  <c r="A305" i="24"/>
  <c r="A303" i="24"/>
  <c r="A302" i="24"/>
  <c r="A301" i="24"/>
  <c r="A300" i="24"/>
  <c r="A298" i="24"/>
  <c r="A297" i="24"/>
  <c r="A296" i="24"/>
  <c r="A295" i="24"/>
  <c r="A293" i="24"/>
  <c r="A292" i="24"/>
  <c r="A291" i="24"/>
  <c r="A290" i="24"/>
  <c r="A288" i="24"/>
  <c r="A287" i="24"/>
  <c r="A286" i="24"/>
  <c r="A285" i="24"/>
  <c r="A283" i="24"/>
  <c r="A282" i="24"/>
  <c r="A281" i="24"/>
  <c r="A280" i="24"/>
  <c r="A278" i="24"/>
  <c r="A277" i="24"/>
  <c r="A276" i="24"/>
  <c r="A275" i="24"/>
  <c r="A273" i="24"/>
  <c r="A272" i="24"/>
  <c r="A271" i="24"/>
  <c r="A270" i="24"/>
  <c r="A268" i="24"/>
  <c r="A267" i="24"/>
  <c r="A266" i="24"/>
  <c r="A265" i="24"/>
  <c r="A263" i="24"/>
  <c r="A262" i="24"/>
  <c r="A261" i="24"/>
  <c r="A260" i="24"/>
  <c r="A258" i="24"/>
  <c r="A257" i="24"/>
  <c r="A256" i="24"/>
  <c r="A255" i="24"/>
  <c r="A253" i="24"/>
  <c r="A252" i="24"/>
  <c r="A251" i="24"/>
  <c r="A250" i="24"/>
  <c r="A248" i="24"/>
  <c r="A247" i="24"/>
  <c r="A246" i="24"/>
  <c r="A245" i="24"/>
  <c r="A243" i="24"/>
  <c r="A241" i="24"/>
  <c r="A240" i="24"/>
  <c r="A237" i="24"/>
  <c r="A236" i="24"/>
  <c r="A235" i="24"/>
  <c r="A234" i="24"/>
  <c r="A232" i="24"/>
  <c r="A231" i="24"/>
  <c r="A230" i="24"/>
  <c r="A229" i="24"/>
  <c r="A228" i="24"/>
  <c r="A227" i="24"/>
  <c r="A225" i="24"/>
  <c r="A224" i="24"/>
  <c r="A223" i="24"/>
  <c r="A222" i="24"/>
  <c r="A221" i="24"/>
  <c r="A220" i="24"/>
  <c r="A218" i="24"/>
  <c r="A217" i="24"/>
  <c r="A216" i="24"/>
  <c r="A215" i="24"/>
  <c r="A213" i="24"/>
  <c r="A212" i="24"/>
  <c r="A211" i="24"/>
  <c r="A210" i="24"/>
  <c r="A208" i="24"/>
  <c r="A207" i="24"/>
  <c r="A205" i="24"/>
  <c r="A203" i="24"/>
  <c r="A202" i="24"/>
  <c r="A200" i="24"/>
  <c r="A199" i="24"/>
  <c r="A198" i="24"/>
  <c r="A196" i="24"/>
  <c r="A195" i="24"/>
  <c r="A194" i="24"/>
  <c r="A193" i="24"/>
  <c r="A192" i="24"/>
  <c r="A190" i="24"/>
  <c r="A189" i="24"/>
  <c r="A187" i="24"/>
  <c r="A185" i="24"/>
  <c r="A184" i="24"/>
  <c r="A182" i="24"/>
  <c r="A181" i="24"/>
  <c r="A180" i="24"/>
  <c r="A177" i="24"/>
  <c r="A176" i="24"/>
  <c r="A175" i="24"/>
  <c r="A174" i="24"/>
  <c r="A172" i="24"/>
  <c r="A171" i="24"/>
  <c r="A169" i="24"/>
  <c r="A168" i="24"/>
  <c r="A167" i="24"/>
  <c r="A166" i="24"/>
  <c r="A164" i="24"/>
  <c r="A163" i="24"/>
  <c r="A162" i="24"/>
  <c r="A161" i="24"/>
  <c r="A159" i="24"/>
  <c r="A158" i="24"/>
  <c r="A157" i="24"/>
  <c r="A156" i="24"/>
  <c r="A155" i="24"/>
  <c r="A154" i="24"/>
  <c r="A153" i="24"/>
  <c r="A152" i="24"/>
  <c r="A151" i="24"/>
  <c r="A150" i="24"/>
  <c r="A149" i="24"/>
  <c r="A148" i="24"/>
  <c r="A147" i="24"/>
  <c r="A146" i="24"/>
  <c r="A144" i="24"/>
  <c r="A143" i="24"/>
  <c r="A142" i="24"/>
  <c r="A141" i="24"/>
  <c r="A139" i="24"/>
  <c r="A138" i="24"/>
  <c r="A137" i="24"/>
  <c r="A136" i="24"/>
  <c r="A134" i="24"/>
  <c r="A133" i="24"/>
  <c r="A132" i="24"/>
  <c r="A131" i="24"/>
  <c r="A128" i="24"/>
  <c r="A127" i="24"/>
  <c r="A126" i="24"/>
  <c r="A124" i="24"/>
  <c r="A123" i="24"/>
  <c r="A122" i="24"/>
  <c r="A120" i="24"/>
  <c r="A119" i="24"/>
  <c r="A118" i="24"/>
  <c r="A116" i="24"/>
  <c r="A115" i="24"/>
  <c r="A114" i="24"/>
  <c r="A112" i="24"/>
  <c r="A111" i="24"/>
  <c r="A110" i="24"/>
  <c r="A108" i="24"/>
  <c r="A107" i="24"/>
  <c r="A106" i="24"/>
  <c r="A104" i="24"/>
  <c r="A103" i="24"/>
  <c r="A102" i="24"/>
  <c r="A100" i="24"/>
  <c r="A99" i="24"/>
  <c r="A98" i="24"/>
  <c r="A96" i="24"/>
  <c r="A95" i="24"/>
  <c r="A94" i="24"/>
  <c r="A92" i="24"/>
  <c r="A91" i="24"/>
  <c r="A90" i="24"/>
  <c r="A88" i="24"/>
  <c r="A87" i="24"/>
  <c r="A86" i="24"/>
  <c r="A84" i="24"/>
  <c r="A83" i="24"/>
  <c r="A82" i="24"/>
  <c r="A80" i="24"/>
  <c r="A79" i="24"/>
  <c r="A78" i="24"/>
  <c r="A76" i="24"/>
  <c r="A75" i="24"/>
  <c r="A74" i="24"/>
  <c r="A72" i="24"/>
  <c r="A71" i="24"/>
  <c r="A70" i="24"/>
  <c r="A68" i="24"/>
  <c r="A67" i="24"/>
  <c r="A66" i="24"/>
  <c r="A63" i="24"/>
  <c r="A62" i="24"/>
  <c r="A61" i="24"/>
  <c r="A60" i="24"/>
  <c r="A59" i="24"/>
  <c r="A58" i="24"/>
  <c r="A56" i="24"/>
  <c r="A55" i="24"/>
  <c r="A53" i="24"/>
  <c r="A52" i="24"/>
  <c r="A51" i="24"/>
  <c r="A50" i="24"/>
  <c r="A49" i="24"/>
  <c r="A48" i="24"/>
  <c r="A46" i="24"/>
  <c r="A45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E5" i="22"/>
  <c r="E12" i="22"/>
  <c r="E15" i="22"/>
  <c r="E11" i="22"/>
  <c r="E7" i="22"/>
  <c r="E3" i="22"/>
  <c r="E4" i="22"/>
  <c r="E6" i="22"/>
  <c r="E8" i="22"/>
  <c r="E9" i="22"/>
  <c r="E10" i="22"/>
  <c r="E13" i="22"/>
  <c r="E14" i="22"/>
  <c r="E16" i="22"/>
  <c r="E17" i="22"/>
  <c r="E18" i="22"/>
  <c r="E2" i="22"/>
  <c r="I7" i="18" l="1"/>
  <c r="I8" i="18"/>
  <c r="I9" i="18"/>
  <c r="S1289" i="24"/>
  <c r="U1289" i="24" s="1"/>
  <c r="S1288" i="24"/>
  <c r="U1288" i="24" s="1"/>
  <c r="S1287" i="24"/>
  <c r="U1287" i="24" s="1"/>
  <c r="S1285" i="24"/>
  <c r="U1285" i="24" s="1"/>
  <c r="S1283" i="24"/>
  <c r="U1283" i="24" s="1"/>
  <c r="S1282" i="24"/>
  <c r="U1282" i="24" s="1"/>
  <c r="S1281" i="24"/>
  <c r="U1281" i="24" s="1"/>
  <c r="S1280" i="24"/>
  <c r="U1280" i="24" s="1"/>
  <c r="S1279" i="24"/>
  <c r="U1279" i="24" s="1"/>
  <c r="S1277" i="24"/>
  <c r="U1277" i="24" s="1"/>
  <c r="S1276" i="24"/>
  <c r="U1276" i="24" s="1"/>
  <c r="S1275" i="24"/>
  <c r="U1275" i="24" s="1"/>
  <c r="S1274" i="24"/>
  <c r="U1274" i="24" s="1"/>
  <c r="S1273" i="24"/>
  <c r="U1273" i="24" s="1"/>
  <c r="S1272" i="24"/>
  <c r="U1272" i="24" s="1"/>
  <c r="S1270" i="24"/>
  <c r="U1270" i="24" s="1"/>
  <c r="S1269" i="24"/>
  <c r="U1269" i="24" s="1"/>
  <c r="S1268" i="24"/>
  <c r="U1268" i="24" s="1"/>
  <c r="S1265" i="24"/>
  <c r="U1265" i="24" s="1"/>
  <c r="Q1264" i="24"/>
  <c r="O1264" i="24"/>
  <c r="S1263" i="24"/>
  <c r="U1263" i="24" s="1"/>
  <c r="Q1262" i="24"/>
  <c r="O1262" i="24"/>
  <c r="S1260" i="24"/>
  <c r="U1260" i="24" s="1"/>
  <c r="Q1259" i="24"/>
  <c r="O1259" i="24"/>
  <c r="S1258" i="24"/>
  <c r="U1258" i="24" s="1"/>
  <c r="Q1257" i="24"/>
  <c r="O1257" i="24"/>
  <c r="S1255" i="24"/>
  <c r="U1255" i="24" s="1"/>
  <c r="S1254" i="24"/>
  <c r="U1254" i="24" s="1"/>
  <c r="S1253" i="24"/>
  <c r="U1253" i="24" s="1"/>
  <c r="Q1251" i="24"/>
  <c r="O1251" i="24"/>
  <c r="Q1250" i="24"/>
  <c r="O1250" i="24"/>
  <c r="Q1249" i="24"/>
  <c r="O1249" i="24"/>
  <c r="Q1248" i="24"/>
  <c r="O1248" i="24"/>
  <c r="Q1246" i="24"/>
  <c r="S1246" i="24" s="1"/>
  <c r="U1246" i="24" s="1"/>
  <c r="S1245" i="24"/>
  <c r="U1245" i="24" s="1"/>
  <c r="S1244" i="24"/>
  <c r="U1244" i="24" s="1"/>
  <c r="Q1242" i="24"/>
  <c r="O1242" i="24"/>
  <c r="O1241" i="24"/>
  <c r="S1241" i="24" s="1"/>
  <c r="U1241" i="24" s="1"/>
  <c r="S1240" i="24"/>
  <c r="U1240" i="24" s="1"/>
  <c r="Q1238" i="24"/>
  <c r="O1238" i="24"/>
  <c r="O1237" i="24"/>
  <c r="S1237" i="24" s="1"/>
  <c r="U1237" i="24" s="1"/>
  <c r="Q1236" i="24"/>
  <c r="O1236" i="24"/>
  <c r="S1234" i="24"/>
  <c r="U1234" i="24" s="1"/>
  <c r="S1233" i="24"/>
  <c r="U1233" i="24" s="1"/>
  <c r="S1230" i="24"/>
  <c r="U1230" i="24" s="1"/>
  <c r="S1229" i="24"/>
  <c r="U1229" i="24" s="1"/>
  <c r="S1228" i="24"/>
  <c r="U1228" i="24" s="1"/>
  <c r="S1227" i="24"/>
  <c r="U1227" i="24" s="1"/>
  <c r="S1226" i="24"/>
  <c r="U1226" i="24" s="1"/>
  <c r="S1224" i="24"/>
  <c r="U1224" i="24" s="1"/>
  <c r="S1223" i="24"/>
  <c r="U1223" i="24" s="1"/>
  <c r="O1222" i="24"/>
  <c r="S1221" i="24"/>
  <c r="U1221" i="24" s="1"/>
  <c r="H1218" i="24"/>
  <c r="Q1218" i="24" s="1"/>
  <c r="Q1216" i="24"/>
  <c r="S1213" i="24"/>
  <c r="U1213" i="24" s="1"/>
  <c r="S1211" i="24"/>
  <c r="U1211" i="24" s="1"/>
  <c r="S1210" i="24"/>
  <c r="U1210" i="24" s="1"/>
  <c r="O1208" i="24"/>
  <c r="H1208" i="24"/>
  <c r="H1210" i="24" s="1"/>
  <c r="Q1207" i="24"/>
  <c r="O1207" i="24"/>
  <c r="S1206" i="24"/>
  <c r="U1206" i="24" s="1"/>
  <c r="O1205" i="24"/>
  <c r="S1204" i="24"/>
  <c r="U1204" i="24" s="1"/>
  <c r="E1203" i="24"/>
  <c r="S1201" i="24"/>
  <c r="U1201" i="24" s="1"/>
  <c r="S1196" i="24"/>
  <c r="U1196" i="24" s="1"/>
  <c r="O1194" i="24"/>
  <c r="S1193" i="24"/>
  <c r="U1193" i="24" s="1"/>
  <c r="S1191" i="24"/>
  <c r="U1191" i="24" s="1"/>
  <c r="S1190" i="24"/>
  <c r="U1190" i="24" s="1"/>
  <c r="Q1187" i="24"/>
  <c r="S1187" i="24" s="1"/>
  <c r="U1187" i="24" s="1"/>
  <c r="S1185" i="24"/>
  <c r="U1185" i="24" s="1"/>
  <c r="S1184" i="24"/>
  <c r="U1184" i="24" s="1"/>
  <c r="S1182" i="24"/>
  <c r="U1182" i="24" s="1"/>
  <c r="S1181" i="24"/>
  <c r="U1181" i="24" s="1"/>
  <c r="S1179" i="24"/>
  <c r="U1179" i="24" s="1"/>
  <c r="S1178" i="24"/>
  <c r="U1178" i="24" s="1"/>
  <c r="S1176" i="24"/>
  <c r="U1176" i="24" s="1"/>
  <c r="N1176" i="24"/>
  <c r="M1176" i="24"/>
  <c r="H1176" i="24"/>
  <c r="Q1174" i="24"/>
  <c r="Q1172" i="24"/>
  <c r="S1170" i="24"/>
  <c r="U1170" i="24" s="1"/>
  <c r="Q1166" i="24"/>
  <c r="Q1165" i="24"/>
  <c r="S1164" i="24"/>
  <c r="Q1163" i="24"/>
  <c r="Q1161" i="24"/>
  <c r="S1159" i="24"/>
  <c r="U1159" i="24" s="1"/>
  <c r="Q1156" i="24"/>
  <c r="Q1155" i="24"/>
  <c r="O1153" i="24"/>
  <c r="S1153" i="24" s="1"/>
  <c r="U1153" i="24" s="1"/>
  <c r="N1153" i="24"/>
  <c r="M1153" i="24"/>
  <c r="H1153" i="24"/>
  <c r="S1151" i="24"/>
  <c r="U1151" i="24" s="1"/>
  <c r="Q1150" i="24"/>
  <c r="Q1148" i="24"/>
  <c r="S1146" i="24"/>
  <c r="U1146" i="24" s="1"/>
  <c r="S1141" i="24"/>
  <c r="U1141" i="24" s="1"/>
  <c r="O1139" i="24"/>
  <c r="S1138" i="24"/>
  <c r="U1138" i="24" s="1"/>
  <c r="H1138" i="24"/>
  <c r="H1139" i="24" s="1"/>
  <c r="H1140" i="24" s="1"/>
  <c r="Q1140" i="24" s="1"/>
  <c r="Q1136" i="24"/>
  <c r="Q1135" i="24"/>
  <c r="Q1134" i="24"/>
  <c r="Q1133" i="24"/>
  <c r="Q1132" i="24"/>
  <c r="O1132" i="24"/>
  <c r="O1131" i="24"/>
  <c r="S1130" i="24"/>
  <c r="U1130" i="24" s="1"/>
  <c r="S1128" i="24"/>
  <c r="U1128" i="24" s="1"/>
  <c r="S1127" i="24"/>
  <c r="U1127" i="24" s="1"/>
  <c r="O1125" i="24"/>
  <c r="S1124" i="24"/>
  <c r="U1124" i="24" s="1"/>
  <c r="S1123" i="24"/>
  <c r="U1123" i="24" s="1"/>
  <c r="O1121" i="24"/>
  <c r="O1120" i="24"/>
  <c r="S1118" i="24"/>
  <c r="U1118" i="24" s="1"/>
  <c r="O1117" i="24"/>
  <c r="S1117" i="24" s="1"/>
  <c r="U1117" i="24" s="1"/>
  <c r="O1115" i="24"/>
  <c r="S1115" i="24" s="1"/>
  <c r="U1115" i="24" s="1"/>
  <c r="O1114" i="24"/>
  <c r="Q1113" i="24"/>
  <c r="S1113" i="24" s="1"/>
  <c r="U1113" i="24" s="1"/>
  <c r="O1112" i="24"/>
  <c r="O1111" i="24"/>
  <c r="S1110" i="24"/>
  <c r="U1110" i="24" s="1"/>
  <c r="O1109" i="24"/>
  <c r="O1108" i="24"/>
  <c r="S1107" i="24"/>
  <c r="U1107" i="24" s="1"/>
  <c r="S1105" i="24"/>
  <c r="U1105" i="24" s="1"/>
  <c r="S1104" i="24"/>
  <c r="U1104" i="24" s="1"/>
  <c r="M1102" i="24"/>
  <c r="H1102" i="24"/>
  <c r="Q1101" i="24"/>
  <c r="O1101" i="24"/>
  <c r="Q1100" i="24"/>
  <c r="O1100" i="24"/>
  <c r="O1102" i="24" s="1"/>
  <c r="S1102" i="24" s="1"/>
  <c r="U1102" i="24" s="1"/>
  <c r="S1099" i="24"/>
  <c r="U1099" i="24" s="1"/>
  <c r="O1098" i="24"/>
  <c r="O1097" i="24"/>
  <c r="Q1096" i="24"/>
  <c r="S1096" i="24" s="1"/>
  <c r="U1096" i="24" s="1"/>
  <c r="Q1095" i="24"/>
  <c r="S1095" i="24" s="1"/>
  <c r="U1095" i="24" s="1"/>
  <c r="S1094" i="24"/>
  <c r="U1094" i="24" s="1"/>
  <c r="S1093" i="24"/>
  <c r="Q1092" i="24"/>
  <c r="S1092" i="24" s="1"/>
  <c r="U1092" i="24" s="1"/>
  <c r="Q1091" i="24"/>
  <c r="S1091" i="24" s="1"/>
  <c r="U1091" i="24" s="1"/>
  <c r="Q1089" i="24"/>
  <c r="S1089" i="24" s="1"/>
  <c r="U1089" i="24" s="1"/>
  <c r="Q1088" i="24"/>
  <c r="S1088" i="24" s="1"/>
  <c r="U1088" i="24" s="1"/>
  <c r="Q1086" i="24"/>
  <c r="S1086" i="24" s="1"/>
  <c r="U1086" i="24" s="1"/>
  <c r="Q1085" i="24"/>
  <c r="S1085" i="24" s="1"/>
  <c r="U1085" i="24" s="1"/>
  <c r="S1083" i="24"/>
  <c r="U1083" i="24" s="1"/>
  <c r="S1082" i="24"/>
  <c r="U1082" i="24" s="1"/>
  <c r="S1080" i="24"/>
  <c r="U1080" i="24" s="1"/>
  <c r="Q1078" i="24"/>
  <c r="Q1076" i="24"/>
  <c r="S1074" i="24"/>
  <c r="U1074" i="24" s="1"/>
  <c r="H1071" i="24"/>
  <c r="H1070" i="24"/>
  <c r="Q1070" i="24" s="1"/>
  <c r="H1069" i="24"/>
  <c r="Q1069" i="24" s="1"/>
  <c r="Q1067" i="24"/>
  <c r="Q1065" i="24"/>
  <c r="S1063" i="24"/>
  <c r="U1063" i="24" s="1"/>
  <c r="S1061" i="24"/>
  <c r="U1061" i="24" s="1"/>
  <c r="Q1060" i="24"/>
  <c r="O1059" i="24"/>
  <c r="H1059" i="24"/>
  <c r="Q1059" i="24" s="1"/>
  <c r="S1057" i="24"/>
  <c r="U1057" i="24" s="1"/>
  <c r="S1055" i="24"/>
  <c r="U1055" i="24" s="1"/>
  <c r="Q1054" i="24"/>
  <c r="Q1052" i="24"/>
  <c r="S1050" i="24"/>
  <c r="U1050" i="24" s="1"/>
  <c r="Q1048" i="24"/>
  <c r="Q1047" i="24"/>
  <c r="S1045" i="24"/>
  <c r="U1045" i="24" s="1"/>
  <c r="S1042" i="24"/>
  <c r="U1042" i="24" s="1"/>
  <c r="H1037" i="24"/>
  <c r="H1038" i="24" s="1"/>
  <c r="H1039" i="24" s="1"/>
  <c r="O1036" i="24"/>
  <c r="S1035" i="24"/>
  <c r="U1035" i="24" s="1"/>
  <c r="O1032" i="24"/>
  <c r="S1032" i="24" s="1"/>
  <c r="U1032" i="24" s="1"/>
  <c r="M1032" i="24"/>
  <c r="S1031" i="24"/>
  <c r="U1031" i="24" s="1"/>
  <c r="O1029" i="24"/>
  <c r="S1028" i="24"/>
  <c r="U1028" i="24" s="1"/>
  <c r="S1027" i="24"/>
  <c r="U1027" i="24" s="1"/>
  <c r="S1025" i="24"/>
  <c r="U1025" i="24" s="1"/>
  <c r="O1024" i="24"/>
  <c r="O1023" i="24"/>
  <c r="S1023" i="24" s="1"/>
  <c r="U1023" i="24" s="1"/>
  <c r="O1022" i="24"/>
  <c r="S1022" i="24" s="1"/>
  <c r="U1022" i="24" s="1"/>
  <c r="O1020" i="24"/>
  <c r="S1020" i="24" s="1"/>
  <c r="U1020" i="24" s="1"/>
  <c r="S1011" i="24"/>
  <c r="U1011" i="24" s="1"/>
  <c r="S1009" i="24"/>
  <c r="U1009" i="24" s="1"/>
  <c r="S1008" i="24"/>
  <c r="U1008" i="24" s="1"/>
  <c r="S1007" i="24"/>
  <c r="U1007" i="24" s="1"/>
  <c r="S1005" i="24"/>
  <c r="U1005" i="24" s="1"/>
  <c r="Q1004" i="24"/>
  <c r="S1004" i="24" s="1"/>
  <c r="U1004" i="24" s="1"/>
  <c r="Q1003" i="24"/>
  <c r="S1003" i="24" s="1"/>
  <c r="U1003" i="24" s="1"/>
  <c r="S1001" i="24"/>
  <c r="U1001" i="24" s="1"/>
  <c r="Q1000" i="24"/>
  <c r="Q999" i="24"/>
  <c r="S997" i="24"/>
  <c r="U997" i="24" s="1"/>
  <c r="O996" i="24"/>
  <c r="O995" i="24"/>
  <c r="S993" i="24"/>
  <c r="U993" i="24" s="1"/>
  <c r="S992" i="24"/>
  <c r="U992" i="24" s="1"/>
  <c r="S991" i="24"/>
  <c r="U991" i="24" s="1"/>
  <c r="Q989" i="24"/>
  <c r="Q987" i="24"/>
  <c r="S985" i="24"/>
  <c r="U985" i="24" s="1"/>
  <c r="Q982" i="24"/>
  <c r="Q980" i="24"/>
  <c r="Q978" i="24"/>
  <c r="S976" i="24"/>
  <c r="U976" i="24" s="1"/>
  <c r="Q973" i="24"/>
  <c r="Q971" i="24"/>
  <c r="Q970" i="24"/>
  <c r="S969" i="24"/>
  <c r="U969" i="24" s="1"/>
  <c r="Q967" i="24"/>
  <c r="H965" i="24"/>
  <c r="Q965" i="24" s="1"/>
  <c r="H964" i="24"/>
  <c r="S963" i="24"/>
  <c r="U963" i="24" s="1"/>
  <c r="Q960" i="24"/>
  <c r="Q958" i="24"/>
  <c r="H956" i="24"/>
  <c r="Q956" i="24" s="1"/>
  <c r="H955" i="24"/>
  <c r="S954" i="24"/>
  <c r="U954" i="24" s="1"/>
  <c r="S953" i="24"/>
  <c r="Q951" i="24"/>
  <c r="Q949" i="24"/>
  <c r="H947" i="24"/>
  <c r="Q947" i="24" s="1"/>
  <c r="H946" i="24"/>
  <c r="S945" i="24"/>
  <c r="U945" i="24" s="1"/>
  <c r="Q942" i="24"/>
  <c r="Q940" i="24"/>
  <c r="O940" i="24"/>
  <c r="Q939" i="24"/>
  <c r="Q938" i="24"/>
  <c r="O938" i="24"/>
  <c r="Q937" i="24"/>
  <c r="O937" i="24"/>
  <c r="O935" i="24"/>
  <c r="O934" i="24"/>
  <c r="Q933" i="24"/>
  <c r="Q934" i="24" s="1"/>
  <c r="Q935" i="24" s="1"/>
  <c r="O933" i="24"/>
  <c r="O932" i="24"/>
  <c r="S932" i="24" s="1"/>
  <c r="U932" i="24" s="1"/>
  <c r="S931" i="24"/>
  <c r="R928" i="24"/>
  <c r="R929" i="24" s="1"/>
  <c r="R930" i="24" s="1"/>
  <c r="Q928" i="24"/>
  <c r="S928" i="24" s="1"/>
  <c r="U928" i="24" s="1"/>
  <c r="S927" i="24"/>
  <c r="U927" i="24" s="1"/>
  <c r="H922" i="24"/>
  <c r="Q922" i="24" s="1"/>
  <c r="H918" i="24"/>
  <c r="Q915" i="24"/>
  <c r="Q914" i="24"/>
  <c r="Q913" i="24"/>
  <c r="Q912" i="24"/>
  <c r="H908" i="24"/>
  <c r="S896" i="24"/>
  <c r="S891" i="24"/>
  <c r="O890" i="24"/>
  <c r="O889" i="24"/>
  <c r="Q888" i="24"/>
  <c r="Q889" i="24" s="1"/>
  <c r="O888" i="24"/>
  <c r="O887" i="24"/>
  <c r="S887" i="24" s="1"/>
  <c r="U887" i="24" s="1"/>
  <c r="S875" i="24"/>
  <c r="S874" i="24"/>
  <c r="U874" i="24" s="1"/>
  <c r="S873" i="24"/>
  <c r="U873" i="24" s="1"/>
  <c r="P874" i="24"/>
  <c r="P875" i="24" s="1"/>
  <c r="S872" i="24"/>
  <c r="U872" i="24" s="1"/>
  <c r="M870" i="24"/>
  <c r="M869" i="24"/>
  <c r="M874" i="24" s="1"/>
  <c r="M868" i="24"/>
  <c r="M873" i="24" s="1"/>
  <c r="M867" i="24"/>
  <c r="M872" i="24" s="1"/>
  <c r="O865" i="24"/>
  <c r="O864" i="24"/>
  <c r="O863" i="24"/>
  <c r="H863" i="24"/>
  <c r="H864" i="24" s="1"/>
  <c r="Q862" i="24"/>
  <c r="O862" i="24"/>
  <c r="Q860" i="24"/>
  <c r="O860" i="24"/>
  <c r="O858" i="24"/>
  <c r="S857" i="24"/>
  <c r="U857" i="24" s="1"/>
  <c r="M853" i="24"/>
  <c r="M854" i="24" s="1"/>
  <c r="O854" i="24" s="1"/>
  <c r="S854" i="24" s="1"/>
  <c r="U854" i="24" s="1"/>
  <c r="H853" i="24"/>
  <c r="H854" i="24" s="1"/>
  <c r="O852" i="24"/>
  <c r="S852" i="24" s="1"/>
  <c r="U852" i="24" s="1"/>
  <c r="S851" i="24"/>
  <c r="U851" i="24" s="1"/>
  <c r="S849" i="24"/>
  <c r="U849" i="24" s="1"/>
  <c r="S848" i="24"/>
  <c r="U848" i="24" s="1"/>
  <c r="S847" i="24"/>
  <c r="U847" i="24" s="1"/>
  <c r="M845" i="24"/>
  <c r="M846" i="24" s="1"/>
  <c r="H845" i="24"/>
  <c r="Q845" i="24" s="1"/>
  <c r="O844" i="24"/>
  <c r="S842" i="24"/>
  <c r="U842" i="24" s="1"/>
  <c r="S841" i="24"/>
  <c r="U841" i="24" s="1"/>
  <c r="S840" i="24"/>
  <c r="U840" i="24" s="1"/>
  <c r="O839" i="24"/>
  <c r="S839" i="24" s="1"/>
  <c r="U839" i="24" s="1"/>
  <c r="Q838" i="24"/>
  <c r="O837" i="24"/>
  <c r="Q835" i="24"/>
  <c r="O835" i="24"/>
  <c r="O834" i="24"/>
  <c r="S834" i="24" s="1"/>
  <c r="U834" i="24" s="1"/>
  <c r="O833" i="24"/>
  <c r="S833" i="24" s="1"/>
  <c r="U833" i="24" s="1"/>
  <c r="O832" i="24"/>
  <c r="S832" i="24" s="1"/>
  <c r="U832" i="24" s="1"/>
  <c r="O830" i="24"/>
  <c r="S830" i="24" s="1"/>
  <c r="U830" i="24" s="1"/>
  <c r="O829" i="24"/>
  <c r="S829" i="24" s="1"/>
  <c r="U829" i="24" s="1"/>
  <c r="O828" i="24"/>
  <c r="S828" i="24" s="1"/>
  <c r="U828" i="24" s="1"/>
  <c r="O827" i="24"/>
  <c r="S827" i="24" s="1"/>
  <c r="U827" i="24" s="1"/>
  <c r="Q825" i="24"/>
  <c r="O825" i="24"/>
  <c r="S824" i="24"/>
  <c r="U824" i="24" s="1"/>
  <c r="S822" i="24"/>
  <c r="U822" i="24" s="1"/>
  <c r="O820" i="24"/>
  <c r="S820" i="24" s="1"/>
  <c r="U820" i="24" s="1"/>
  <c r="O819" i="24"/>
  <c r="S819" i="24" s="1"/>
  <c r="U819" i="24" s="1"/>
  <c r="S817" i="24"/>
  <c r="U817" i="24" s="1"/>
  <c r="S816" i="24"/>
  <c r="U816" i="24" s="1"/>
  <c r="S815" i="24"/>
  <c r="U815" i="24" s="1"/>
  <c r="S813" i="24"/>
  <c r="U813" i="24" s="1"/>
  <c r="S812" i="24"/>
  <c r="U812" i="24" s="1"/>
  <c r="S811" i="24"/>
  <c r="U811" i="24" s="1"/>
  <c r="S810" i="24"/>
  <c r="U810" i="24" s="1"/>
  <c r="O809" i="24"/>
  <c r="S809" i="24" s="1"/>
  <c r="U809" i="24" s="1"/>
  <c r="Q807" i="24"/>
  <c r="O807" i="24"/>
  <c r="S806" i="24"/>
  <c r="U806" i="24" s="1"/>
  <c r="S804" i="24"/>
  <c r="U804" i="24" s="1"/>
  <c r="S802" i="24"/>
  <c r="U802" i="24" s="1"/>
  <c r="O801" i="24"/>
  <c r="S801" i="24" s="1"/>
  <c r="U801" i="24" s="1"/>
  <c r="S799" i="24"/>
  <c r="U799" i="24" s="1"/>
  <c r="S798" i="24"/>
  <c r="U798" i="24" s="1"/>
  <c r="O797" i="24"/>
  <c r="S797" i="24" s="1"/>
  <c r="U797" i="24" s="1"/>
  <c r="O794" i="24"/>
  <c r="S794" i="24" s="1"/>
  <c r="U794" i="24" s="1"/>
  <c r="O793" i="24"/>
  <c r="S793" i="24" s="1"/>
  <c r="U793" i="24" s="1"/>
  <c r="O792" i="24"/>
  <c r="S792" i="24" s="1"/>
  <c r="U792" i="24" s="1"/>
  <c r="O791" i="24"/>
  <c r="S791" i="24" s="1"/>
  <c r="U791" i="24" s="1"/>
  <c r="O789" i="24"/>
  <c r="S789" i="24" s="1"/>
  <c r="U789" i="24" s="1"/>
  <c r="O788" i="24"/>
  <c r="S788" i="24" s="1"/>
  <c r="U788" i="24" s="1"/>
  <c r="O786" i="24"/>
  <c r="S786" i="24" s="1"/>
  <c r="U786" i="24" s="1"/>
  <c r="O785" i="24"/>
  <c r="S785" i="24" s="1"/>
  <c r="U785" i="24" s="1"/>
  <c r="O784" i="24"/>
  <c r="S784" i="24" s="1"/>
  <c r="U784" i="24" s="1"/>
  <c r="S783" i="24"/>
  <c r="U783" i="24" s="1"/>
  <c r="O781" i="24"/>
  <c r="S781" i="24" s="1"/>
  <c r="U781" i="24" s="1"/>
  <c r="O780" i="24"/>
  <c r="S780" i="24" s="1"/>
  <c r="U780" i="24" s="1"/>
  <c r="O779" i="24"/>
  <c r="S779" i="24" s="1"/>
  <c r="U779" i="24" s="1"/>
  <c r="S778" i="24"/>
  <c r="U778" i="24" s="1"/>
  <c r="O776" i="24"/>
  <c r="S776" i="24" s="1"/>
  <c r="U776" i="24" s="1"/>
  <c r="O775" i="24"/>
  <c r="S775" i="24" s="1"/>
  <c r="U775" i="24" s="1"/>
  <c r="O774" i="24"/>
  <c r="S774" i="24" s="1"/>
  <c r="U774" i="24" s="1"/>
  <c r="O773" i="24"/>
  <c r="S773" i="24" s="1"/>
  <c r="U773" i="24" s="1"/>
  <c r="O772" i="24"/>
  <c r="S772" i="24" s="1"/>
  <c r="U772" i="24" s="1"/>
  <c r="O771" i="24"/>
  <c r="S771" i="24" s="1"/>
  <c r="U771" i="24" s="1"/>
  <c r="O770" i="24"/>
  <c r="S770" i="24" s="1"/>
  <c r="U770" i="24" s="1"/>
  <c r="O769" i="24"/>
  <c r="S769" i="24" s="1"/>
  <c r="U769" i="24" s="1"/>
  <c r="O768" i="24"/>
  <c r="S768" i="24" s="1"/>
  <c r="U768" i="24" s="1"/>
  <c r="O767" i="24"/>
  <c r="S767" i="24" s="1"/>
  <c r="U767" i="24" s="1"/>
  <c r="O766" i="24"/>
  <c r="S766" i="24" s="1"/>
  <c r="U766" i="24" s="1"/>
  <c r="O765" i="24"/>
  <c r="S765" i="24" s="1"/>
  <c r="U765" i="24" s="1"/>
  <c r="S764" i="24"/>
  <c r="U764" i="24" s="1"/>
  <c r="S763" i="24"/>
  <c r="U763" i="24" s="1"/>
  <c r="S760" i="24"/>
  <c r="U760" i="24" s="1"/>
  <c r="S758" i="24"/>
  <c r="U758" i="24" s="1"/>
  <c r="Q756" i="24"/>
  <c r="M755" i="24"/>
  <c r="H755" i="24"/>
  <c r="Q755" i="24" s="1"/>
  <c r="M754" i="24"/>
  <c r="M753" i="24"/>
  <c r="H753" i="24"/>
  <c r="O751" i="24"/>
  <c r="S751" i="24" s="1"/>
  <c r="U751" i="24" s="1"/>
  <c r="O750" i="24"/>
  <c r="S750" i="24" s="1"/>
  <c r="U750" i="24" s="1"/>
  <c r="H750" i="24"/>
  <c r="H754" i="24" s="1"/>
  <c r="O749" i="24"/>
  <c r="S749" i="24" s="1"/>
  <c r="U749" i="24" s="1"/>
  <c r="S748" i="24"/>
  <c r="U748" i="24" s="1"/>
  <c r="S745" i="24"/>
  <c r="U745" i="24" s="1"/>
  <c r="O744" i="24"/>
  <c r="S744" i="24" s="1"/>
  <c r="U744" i="24" s="1"/>
  <c r="O743" i="24"/>
  <c r="S743" i="24" s="1"/>
  <c r="U743" i="24" s="1"/>
  <c r="S741" i="24"/>
  <c r="U741" i="24" s="1"/>
  <c r="S740" i="24"/>
  <c r="U740" i="24" s="1"/>
  <c r="S739" i="24"/>
  <c r="U739" i="24" s="1"/>
  <c r="S737" i="24"/>
  <c r="U737" i="24" s="1"/>
  <c r="S736" i="24"/>
  <c r="U736" i="24" s="1"/>
  <c r="S735" i="24"/>
  <c r="U735" i="24" s="1"/>
  <c r="S733" i="24"/>
  <c r="U733" i="24" s="1"/>
  <c r="S732" i="24"/>
  <c r="Q731" i="24"/>
  <c r="O731" i="24"/>
  <c r="S731" i="24" s="1"/>
  <c r="U731" i="24" s="1"/>
  <c r="S729" i="24"/>
  <c r="U729" i="24" s="1"/>
  <c r="S728" i="24"/>
  <c r="U728" i="24" s="1"/>
  <c r="H728" i="24"/>
  <c r="H740" i="24" s="1"/>
  <c r="S727" i="24"/>
  <c r="U727" i="24" s="1"/>
  <c r="H727" i="24"/>
  <c r="H739" i="24" s="1"/>
  <c r="S725" i="24"/>
  <c r="S724" i="24"/>
  <c r="M724" i="24"/>
  <c r="H724" i="24"/>
  <c r="H736" i="24" s="1"/>
  <c r="S723" i="24"/>
  <c r="U723" i="24" s="1"/>
  <c r="M723" i="24"/>
  <c r="H723" i="24"/>
  <c r="H735" i="24" s="1"/>
  <c r="M720" i="24"/>
  <c r="H720" i="24"/>
  <c r="H732" i="24" s="1"/>
  <c r="M719" i="24"/>
  <c r="O719" i="24" s="1"/>
  <c r="S719" i="24" s="1"/>
  <c r="H719" i="24"/>
  <c r="M717" i="24"/>
  <c r="O717" i="24" s="1"/>
  <c r="S717" i="24" s="1"/>
  <c r="U717" i="24" s="1"/>
  <c r="O716" i="24"/>
  <c r="S716" i="24" s="1"/>
  <c r="U716" i="24" s="1"/>
  <c r="O715" i="24"/>
  <c r="S715" i="24" s="1"/>
  <c r="U715" i="24" s="1"/>
  <c r="S713" i="24"/>
  <c r="U713" i="24" s="1"/>
  <c r="S709" i="24"/>
  <c r="U709" i="24" s="1"/>
  <c r="S708" i="24"/>
  <c r="U708" i="24" s="1"/>
  <c r="S707" i="24"/>
  <c r="U707" i="24" s="1"/>
  <c r="S705" i="24"/>
  <c r="U705" i="24" s="1"/>
  <c r="S704" i="24"/>
  <c r="U704" i="24" s="1"/>
  <c r="S703" i="24"/>
  <c r="U703" i="24" s="1"/>
  <c r="S701" i="24"/>
  <c r="U701" i="24" s="1"/>
  <c r="S700" i="24"/>
  <c r="Q699" i="24"/>
  <c r="O699" i="24"/>
  <c r="S697" i="24"/>
  <c r="U697" i="24" s="1"/>
  <c r="S696" i="24"/>
  <c r="U696" i="24" s="1"/>
  <c r="H696" i="24"/>
  <c r="H708" i="24" s="1"/>
  <c r="S695" i="24"/>
  <c r="U695" i="24" s="1"/>
  <c r="H695" i="24"/>
  <c r="H707" i="24" s="1"/>
  <c r="S693" i="24"/>
  <c r="S692" i="24"/>
  <c r="M692" i="24"/>
  <c r="H692" i="24"/>
  <c r="H704" i="24" s="1"/>
  <c r="S691" i="24"/>
  <c r="U691" i="24" s="1"/>
  <c r="M691" i="24"/>
  <c r="H691" i="24"/>
  <c r="H703" i="24" s="1"/>
  <c r="M688" i="24"/>
  <c r="H688" i="24"/>
  <c r="H700" i="24" s="1"/>
  <c r="M687" i="24"/>
  <c r="O687" i="24" s="1"/>
  <c r="S687" i="24" s="1"/>
  <c r="H687" i="24"/>
  <c r="M685" i="24"/>
  <c r="O685" i="24" s="1"/>
  <c r="S685" i="24" s="1"/>
  <c r="U685" i="24" s="1"/>
  <c r="O684" i="24"/>
  <c r="S684" i="24" s="1"/>
  <c r="U684" i="24" s="1"/>
  <c r="O683" i="24"/>
  <c r="S683" i="24" s="1"/>
  <c r="U683" i="24" s="1"/>
  <c r="Q680" i="24"/>
  <c r="S680" i="24" s="1"/>
  <c r="U680" i="24" s="1"/>
  <c r="Q679" i="24"/>
  <c r="H679" i="24"/>
  <c r="S678" i="24"/>
  <c r="U678" i="24" s="1"/>
  <c r="H678" i="24"/>
  <c r="S677" i="24"/>
  <c r="U677" i="24" s="1"/>
  <c r="H677" i="24"/>
  <c r="Q676" i="24"/>
  <c r="H676" i="24"/>
  <c r="Q675" i="24"/>
  <c r="H675" i="24"/>
  <c r="S673" i="24"/>
  <c r="U673" i="24" s="1"/>
  <c r="H673" i="24"/>
  <c r="S672" i="24"/>
  <c r="U672" i="24" s="1"/>
  <c r="Q669" i="24"/>
  <c r="H669" i="24"/>
  <c r="S668" i="24"/>
  <c r="U668" i="24" s="1"/>
  <c r="H668" i="24"/>
  <c r="S667" i="24"/>
  <c r="U667" i="24" s="1"/>
  <c r="H667" i="24"/>
  <c r="Q666" i="24"/>
  <c r="O669" i="24"/>
  <c r="H666" i="24"/>
  <c r="Q665" i="24"/>
  <c r="H665" i="24"/>
  <c r="O665" i="24" s="1"/>
  <c r="S663" i="24"/>
  <c r="U663" i="24" s="1"/>
  <c r="H663" i="24"/>
  <c r="S662" i="24"/>
  <c r="U662" i="24" s="1"/>
  <c r="Q659" i="24"/>
  <c r="Q658" i="24"/>
  <c r="O657" i="24"/>
  <c r="S656" i="24"/>
  <c r="U656" i="24" s="1"/>
  <c r="S655" i="24"/>
  <c r="U655" i="24" s="1"/>
  <c r="S654" i="24"/>
  <c r="U654" i="24" s="1"/>
  <c r="S653" i="24"/>
  <c r="U653" i="24" s="1"/>
  <c r="S652" i="24"/>
  <c r="U652" i="24" s="1"/>
  <c r="S651" i="24"/>
  <c r="U651" i="24" s="1"/>
  <c r="S650" i="24"/>
  <c r="U650" i="24" s="1"/>
  <c r="S649" i="24"/>
  <c r="U649" i="24" s="1"/>
  <c r="Q648" i="24"/>
  <c r="U647" i="24"/>
  <c r="O646" i="24"/>
  <c r="S645" i="24"/>
  <c r="U645" i="24" s="1"/>
  <c r="S643" i="24"/>
  <c r="U643" i="24" s="1"/>
  <c r="S642" i="24"/>
  <c r="U642" i="24" s="1"/>
  <c r="S641" i="24"/>
  <c r="U641" i="24" s="1"/>
  <c r="S640" i="24"/>
  <c r="U640" i="24" s="1"/>
  <c r="S638" i="24"/>
  <c r="U638" i="24" s="1"/>
  <c r="Q637" i="24"/>
  <c r="O637" i="24"/>
  <c r="S636" i="24"/>
  <c r="U636" i="24" s="1"/>
  <c r="Q635" i="24"/>
  <c r="O635" i="24"/>
  <c r="S633" i="24"/>
  <c r="U633" i="24" s="1"/>
  <c r="Q632" i="24"/>
  <c r="O632" i="24"/>
  <c r="S631" i="24"/>
  <c r="U631" i="24" s="1"/>
  <c r="Q630" i="24"/>
  <c r="O630" i="24"/>
  <c r="S628" i="24"/>
  <c r="U628" i="24" s="1"/>
  <c r="S627" i="24"/>
  <c r="U627" i="24" s="1"/>
  <c r="S626" i="24"/>
  <c r="U626" i="24" s="1"/>
  <c r="Q624" i="24"/>
  <c r="O624" i="24"/>
  <c r="Q623" i="24"/>
  <c r="O623" i="24"/>
  <c r="Q622" i="24"/>
  <c r="O622" i="24"/>
  <c r="Q621" i="24"/>
  <c r="O621" i="24"/>
  <c r="Q619" i="24"/>
  <c r="S619" i="24" s="1"/>
  <c r="U619" i="24" s="1"/>
  <c r="S618" i="24"/>
  <c r="U618" i="24" s="1"/>
  <c r="S617" i="24"/>
  <c r="U617" i="24" s="1"/>
  <c r="Q615" i="24"/>
  <c r="O615" i="24"/>
  <c r="O614" i="24"/>
  <c r="S614" i="24" s="1"/>
  <c r="U614" i="24" s="1"/>
  <c r="S613" i="24"/>
  <c r="U613" i="24" s="1"/>
  <c r="Q611" i="24"/>
  <c r="O611" i="24"/>
  <c r="O610" i="24"/>
  <c r="S610" i="24" s="1"/>
  <c r="U610" i="24" s="1"/>
  <c r="Q609" i="24"/>
  <c r="O609" i="24"/>
  <c r="S607" i="24"/>
  <c r="U607" i="24" s="1"/>
  <c r="S606" i="24"/>
  <c r="U606" i="24" s="1"/>
  <c r="S603" i="24"/>
  <c r="U603" i="24" s="1"/>
  <c r="S602" i="24"/>
  <c r="U602" i="24" s="1"/>
  <c r="S601" i="24"/>
  <c r="U601" i="24" s="1"/>
  <c r="S600" i="24"/>
  <c r="U600" i="24" s="1"/>
  <c r="S599" i="24"/>
  <c r="U599" i="24" s="1"/>
  <c r="S597" i="24"/>
  <c r="U597" i="24" s="1"/>
  <c r="S596" i="24"/>
  <c r="U596" i="24" s="1"/>
  <c r="O595" i="24"/>
  <c r="S594" i="24"/>
  <c r="U594" i="24" s="1"/>
  <c r="H591" i="24"/>
  <c r="Q591" i="24" s="1"/>
  <c r="Q589" i="24"/>
  <c r="S586" i="24"/>
  <c r="U586" i="24" s="1"/>
  <c r="S584" i="24"/>
  <c r="U584" i="24" s="1"/>
  <c r="O587" i="24"/>
  <c r="S583" i="24"/>
  <c r="U583" i="24" s="1"/>
  <c r="O581" i="24"/>
  <c r="H581" i="24"/>
  <c r="Q580" i="24"/>
  <c r="O580" i="24"/>
  <c r="S579" i="24"/>
  <c r="U579" i="24" s="1"/>
  <c r="O578" i="24"/>
  <c r="S577" i="24"/>
  <c r="U577" i="24" s="1"/>
  <c r="S574" i="24"/>
  <c r="U574" i="24" s="1"/>
  <c r="S569" i="24"/>
  <c r="U569" i="24" s="1"/>
  <c r="O567" i="24"/>
  <c r="S566" i="24"/>
  <c r="U566" i="24" s="1"/>
  <c r="S564" i="24"/>
  <c r="U564" i="24" s="1"/>
  <c r="S563" i="24"/>
  <c r="U563" i="24" s="1"/>
  <c r="Q561" i="24"/>
  <c r="S561" i="24" s="1"/>
  <c r="U561" i="24" s="1"/>
  <c r="Q560" i="24"/>
  <c r="S560" i="24" s="1"/>
  <c r="U560" i="24" s="1"/>
  <c r="S558" i="24"/>
  <c r="U558" i="24" s="1"/>
  <c r="S557" i="24"/>
  <c r="U557" i="24" s="1"/>
  <c r="S555" i="24"/>
  <c r="U555" i="24" s="1"/>
  <c r="S554" i="24"/>
  <c r="U554" i="24" s="1"/>
  <c r="S552" i="24"/>
  <c r="U552" i="24" s="1"/>
  <c r="S551" i="24"/>
  <c r="U551" i="24" s="1"/>
  <c r="S549" i="24"/>
  <c r="U549" i="24" s="1"/>
  <c r="N549" i="24"/>
  <c r="M549" i="24"/>
  <c r="H549" i="24"/>
  <c r="Q547" i="24"/>
  <c r="Q545" i="24"/>
  <c r="S543" i="24"/>
  <c r="U543" i="24" s="1"/>
  <c r="Q539" i="24"/>
  <c r="Q538" i="24"/>
  <c r="S537" i="24"/>
  <c r="Q536" i="24"/>
  <c r="Q534" i="24"/>
  <c r="S532" i="24"/>
  <c r="U532" i="24" s="1"/>
  <c r="Q529" i="24"/>
  <c r="Q528" i="24"/>
  <c r="O526" i="24"/>
  <c r="S526" i="24" s="1"/>
  <c r="U526" i="24" s="1"/>
  <c r="N526" i="24"/>
  <c r="M526" i="24"/>
  <c r="H526" i="24"/>
  <c r="S524" i="24"/>
  <c r="U524" i="24" s="1"/>
  <c r="Q523" i="24"/>
  <c r="Q521" i="24"/>
  <c r="S519" i="24"/>
  <c r="U519" i="24" s="1"/>
  <c r="S514" i="24"/>
  <c r="U514" i="24" s="1"/>
  <c r="S511" i="24"/>
  <c r="U511" i="24" s="1"/>
  <c r="H511" i="24"/>
  <c r="H512" i="24" s="1"/>
  <c r="H513" i="24" s="1"/>
  <c r="H514" i="24" s="1"/>
  <c r="H516" i="24" s="1"/>
  <c r="Q509" i="24"/>
  <c r="Q508" i="24"/>
  <c r="Q507" i="24"/>
  <c r="Q506" i="24"/>
  <c r="O506" i="24"/>
  <c r="Q505" i="24"/>
  <c r="O505" i="24"/>
  <c r="O504" i="24"/>
  <c r="S503" i="24"/>
  <c r="U503" i="24" s="1"/>
  <c r="S501" i="24"/>
  <c r="U501" i="24" s="1"/>
  <c r="S500" i="24"/>
  <c r="U500" i="24" s="1"/>
  <c r="O498" i="24"/>
  <c r="S497" i="24"/>
  <c r="U497" i="24" s="1"/>
  <c r="S496" i="24"/>
  <c r="U496" i="24" s="1"/>
  <c r="O494" i="24"/>
  <c r="O493" i="24"/>
  <c r="S491" i="24"/>
  <c r="U491" i="24" s="1"/>
  <c r="O490" i="24"/>
  <c r="S490" i="24" s="1"/>
  <c r="U490" i="24" s="1"/>
  <c r="O488" i="24"/>
  <c r="S488" i="24" s="1"/>
  <c r="U488" i="24" s="1"/>
  <c r="O487" i="24"/>
  <c r="Q486" i="24"/>
  <c r="S486" i="24" s="1"/>
  <c r="U486" i="24" s="1"/>
  <c r="O485" i="24"/>
  <c r="O484" i="24"/>
  <c r="S483" i="24"/>
  <c r="U483" i="24" s="1"/>
  <c r="O482" i="24"/>
  <c r="O481" i="24"/>
  <c r="S480" i="24"/>
  <c r="U480" i="24" s="1"/>
  <c r="S478" i="24"/>
  <c r="U478" i="24" s="1"/>
  <c r="S477" i="24"/>
  <c r="U477" i="24" s="1"/>
  <c r="Q475" i="24"/>
  <c r="S475" i="24" s="1"/>
  <c r="U475" i="24" s="1"/>
  <c r="Q474" i="24"/>
  <c r="S474" i="24" s="1"/>
  <c r="U474" i="24" s="1"/>
  <c r="Q472" i="24"/>
  <c r="S472" i="24" s="1"/>
  <c r="U472" i="24" s="1"/>
  <c r="Q471" i="24"/>
  <c r="S471" i="24" s="1"/>
  <c r="U471" i="24" s="1"/>
  <c r="Q469" i="24"/>
  <c r="S469" i="24" s="1"/>
  <c r="U469" i="24" s="1"/>
  <c r="Q468" i="24"/>
  <c r="S468" i="24" s="1"/>
  <c r="U468" i="24" s="1"/>
  <c r="S466" i="24"/>
  <c r="U466" i="24" s="1"/>
  <c r="S465" i="24"/>
  <c r="U465" i="24" s="1"/>
  <c r="S463" i="24"/>
  <c r="U463" i="24" s="1"/>
  <c r="Q461" i="24"/>
  <c r="Q459" i="24"/>
  <c r="S457" i="24"/>
  <c r="U457" i="24" s="1"/>
  <c r="H454" i="24"/>
  <c r="H453" i="24"/>
  <c r="Q453" i="24" s="1"/>
  <c r="H452" i="24"/>
  <c r="Q452" i="24" s="1"/>
  <c r="Q450" i="24"/>
  <c r="Q448" i="24"/>
  <c r="S446" i="24"/>
  <c r="U446" i="24" s="1"/>
  <c r="S444" i="24"/>
  <c r="U444" i="24" s="1"/>
  <c r="Q443" i="24"/>
  <c r="O443" i="24"/>
  <c r="O442" i="24"/>
  <c r="H442" i="24"/>
  <c r="Q442" i="24" s="1"/>
  <c r="S440" i="24"/>
  <c r="U440" i="24" s="1"/>
  <c r="S438" i="24"/>
  <c r="U438" i="24" s="1"/>
  <c r="Q437" i="24"/>
  <c r="Q435" i="24"/>
  <c r="S433" i="24"/>
  <c r="U433" i="24" s="1"/>
  <c r="Q431" i="24"/>
  <c r="Q430" i="24"/>
  <c r="S428" i="24"/>
  <c r="U428" i="24" s="1"/>
  <c r="S425" i="24"/>
  <c r="U425" i="24" s="1"/>
  <c r="H420" i="24"/>
  <c r="H421" i="24" s="1"/>
  <c r="O419" i="24"/>
  <c r="S418" i="24"/>
  <c r="U418" i="24" s="1"/>
  <c r="O415" i="24"/>
  <c r="S415" i="24" s="1"/>
  <c r="U415" i="24" s="1"/>
  <c r="M415" i="24"/>
  <c r="S414" i="24"/>
  <c r="U414" i="24" s="1"/>
  <c r="O412" i="24"/>
  <c r="S411" i="24"/>
  <c r="U411" i="24" s="1"/>
  <c r="S410" i="24"/>
  <c r="U410" i="24" s="1"/>
  <c r="S408" i="24"/>
  <c r="U408" i="24" s="1"/>
  <c r="O407" i="24"/>
  <c r="O406" i="24"/>
  <c r="S406" i="24" s="1"/>
  <c r="U406" i="24" s="1"/>
  <c r="O405" i="24"/>
  <c r="S405" i="24" s="1"/>
  <c r="U405" i="24" s="1"/>
  <c r="O404" i="24"/>
  <c r="O403" i="24"/>
  <c r="S403" i="24" s="1"/>
  <c r="U403" i="24" s="1"/>
  <c r="S394" i="24"/>
  <c r="U394" i="24" s="1"/>
  <c r="S392" i="24"/>
  <c r="U392" i="24" s="1"/>
  <c r="S391" i="24"/>
  <c r="U391" i="24" s="1"/>
  <c r="S390" i="24"/>
  <c r="U390" i="24" s="1"/>
  <c r="S388" i="24"/>
  <c r="U388" i="24" s="1"/>
  <c r="Q387" i="24"/>
  <c r="S387" i="24" s="1"/>
  <c r="U387" i="24" s="1"/>
  <c r="Q386" i="24"/>
  <c r="S386" i="24" s="1"/>
  <c r="U386" i="24" s="1"/>
  <c r="S384" i="24"/>
  <c r="U384" i="24" s="1"/>
  <c r="Q383" i="24"/>
  <c r="Q382" i="24"/>
  <c r="S380" i="24"/>
  <c r="U380" i="24" s="1"/>
  <c r="O379" i="24"/>
  <c r="O378" i="24"/>
  <c r="S376" i="24"/>
  <c r="U376" i="24" s="1"/>
  <c r="S375" i="24"/>
  <c r="U375" i="24" s="1"/>
  <c r="S374" i="24"/>
  <c r="U374" i="24" s="1"/>
  <c r="Q372" i="24"/>
  <c r="Q370" i="24"/>
  <c r="S368" i="24"/>
  <c r="U368" i="24" s="1"/>
  <c r="Q365" i="24"/>
  <c r="Q363" i="24"/>
  <c r="Q361" i="24"/>
  <c r="S359" i="24"/>
  <c r="U359" i="24" s="1"/>
  <c r="Q356" i="24"/>
  <c r="Q354" i="24"/>
  <c r="Q353" i="24"/>
  <c r="S352" i="24"/>
  <c r="U352" i="24" s="1"/>
  <c r="Q350" i="24"/>
  <c r="H348" i="24"/>
  <c r="Q348" i="24" s="1"/>
  <c r="H347" i="24"/>
  <c r="S346" i="24"/>
  <c r="U346" i="24" s="1"/>
  <c r="Q343" i="24"/>
  <c r="Q341" i="24"/>
  <c r="H339" i="24"/>
  <c r="Q339" i="24" s="1"/>
  <c r="H338" i="24"/>
  <c r="S337" i="24"/>
  <c r="U337" i="24" s="1"/>
  <c r="S336" i="24"/>
  <c r="Q334" i="24"/>
  <c r="Q332" i="24"/>
  <c r="H330" i="24"/>
  <c r="Q330" i="24" s="1"/>
  <c r="H329" i="24"/>
  <c r="S328" i="24"/>
  <c r="U328" i="24" s="1"/>
  <c r="Q325" i="24"/>
  <c r="Q323" i="24"/>
  <c r="O323" i="24"/>
  <c r="Q322" i="24"/>
  <c r="Q321" i="24"/>
  <c r="O321" i="24"/>
  <c r="Q320" i="24"/>
  <c r="O320" i="24"/>
  <c r="O318" i="24"/>
  <c r="O317" i="24"/>
  <c r="Q316" i="24"/>
  <c r="Q317" i="24" s="1"/>
  <c r="Q318" i="24" s="1"/>
  <c r="O316" i="24"/>
  <c r="O315" i="24"/>
  <c r="S315" i="24" s="1"/>
  <c r="U315" i="24" s="1"/>
  <c r="S314" i="24"/>
  <c r="R311" i="24"/>
  <c r="R312" i="24" s="1"/>
  <c r="R313" i="24" s="1"/>
  <c r="Q311" i="24"/>
  <c r="S310" i="24"/>
  <c r="U310" i="24" s="1"/>
  <c r="H305" i="24"/>
  <c r="H306" i="24" s="1"/>
  <c r="Q306" i="24" s="1"/>
  <c r="H301" i="24"/>
  <c r="H302" i="24" s="1"/>
  <c r="H303" i="24" s="1"/>
  <c r="Q298" i="24"/>
  <c r="Q297" i="24"/>
  <c r="Q296" i="24"/>
  <c r="Q295" i="24"/>
  <c r="H291" i="24"/>
  <c r="H292" i="24" s="1"/>
  <c r="S279" i="24"/>
  <c r="S274" i="24"/>
  <c r="O273" i="24"/>
  <c r="O272" i="24"/>
  <c r="Q271" i="24"/>
  <c r="Q272" i="24" s="1"/>
  <c r="Q273" i="24" s="1"/>
  <c r="O271" i="24"/>
  <c r="O270" i="24"/>
  <c r="S270" i="24" s="1"/>
  <c r="U270" i="24" s="1"/>
  <c r="P257" i="24"/>
  <c r="P258" i="24" s="1"/>
  <c r="M253" i="24"/>
  <c r="M252" i="24"/>
  <c r="M257" i="24" s="1"/>
  <c r="M251" i="24"/>
  <c r="M256" i="24" s="1"/>
  <c r="M250" i="24"/>
  <c r="M255" i="24" s="1"/>
  <c r="O248" i="24"/>
  <c r="O247" i="24"/>
  <c r="O246" i="24"/>
  <c r="Q246" i="24"/>
  <c r="Q245" i="24"/>
  <c r="O245" i="24"/>
  <c r="Q243" i="24"/>
  <c r="O243" i="24"/>
  <c r="O241" i="24"/>
  <c r="S240" i="24"/>
  <c r="U240" i="24" s="1"/>
  <c r="M236" i="24"/>
  <c r="M237" i="24" s="1"/>
  <c r="O237" i="24" s="1"/>
  <c r="S237" i="24" s="1"/>
  <c r="U237" i="24" s="1"/>
  <c r="H236" i="24"/>
  <c r="H237" i="24" s="1"/>
  <c r="O235" i="24"/>
  <c r="S235" i="24" s="1"/>
  <c r="U235" i="24" s="1"/>
  <c r="S234" i="24"/>
  <c r="U234" i="24" s="1"/>
  <c r="S232" i="24"/>
  <c r="U232" i="24" s="1"/>
  <c r="S231" i="24"/>
  <c r="U231" i="24" s="1"/>
  <c r="S230" i="24"/>
  <c r="U230" i="24" s="1"/>
  <c r="M228" i="24"/>
  <c r="M229" i="24" s="1"/>
  <c r="H228" i="24"/>
  <c r="H229" i="24" s="1"/>
  <c r="H230" i="24" s="1"/>
  <c r="H231" i="24" s="1"/>
  <c r="H232" i="24" s="1"/>
  <c r="O227" i="24"/>
  <c r="S225" i="24"/>
  <c r="U225" i="24" s="1"/>
  <c r="S224" i="24"/>
  <c r="U224" i="24" s="1"/>
  <c r="S223" i="24"/>
  <c r="U223" i="24" s="1"/>
  <c r="O222" i="24"/>
  <c r="S222" i="24" s="1"/>
  <c r="U222" i="24" s="1"/>
  <c r="Q221" i="24"/>
  <c r="O221" i="24"/>
  <c r="O220" i="24"/>
  <c r="Q218" i="24"/>
  <c r="O218" i="24"/>
  <c r="O217" i="24"/>
  <c r="S217" i="24" s="1"/>
  <c r="U217" i="24" s="1"/>
  <c r="O216" i="24"/>
  <c r="S216" i="24" s="1"/>
  <c r="U216" i="24" s="1"/>
  <c r="O215" i="24"/>
  <c r="S215" i="24" s="1"/>
  <c r="U215" i="24" s="1"/>
  <c r="O213" i="24"/>
  <c r="S213" i="24" s="1"/>
  <c r="U213" i="24" s="1"/>
  <c r="O212" i="24"/>
  <c r="S212" i="24" s="1"/>
  <c r="U212" i="24" s="1"/>
  <c r="O211" i="24"/>
  <c r="S211" i="24" s="1"/>
  <c r="U211" i="24" s="1"/>
  <c r="O210" i="24"/>
  <c r="S210" i="24" s="1"/>
  <c r="U210" i="24" s="1"/>
  <c r="Q208" i="24"/>
  <c r="O208" i="24"/>
  <c r="S207" i="24"/>
  <c r="U207" i="24" s="1"/>
  <c r="S205" i="24"/>
  <c r="U205" i="24" s="1"/>
  <c r="O203" i="24"/>
  <c r="S203" i="24" s="1"/>
  <c r="U203" i="24" s="1"/>
  <c r="O202" i="24"/>
  <c r="S202" i="24" s="1"/>
  <c r="U202" i="24" s="1"/>
  <c r="S200" i="24"/>
  <c r="U200" i="24" s="1"/>
  <c r="S199" i="24"/>
  <c r="U199" i="24" s="1"/>
  <c r="S198" i="24"/>
  <c r="U198" i="24" s="1"/>
  <c r="S196" i="24"/>
  <c r="U196" i="24" s="1"/>
  <c r="S195" i="24"/>
  <c r="U195" i="24" s="1"/>
  <c r="S194" i="24"/>
  <c r="U194" i="24" s="1"/>
  <c r="S193" i="24"/>
  <c r="U193" i="24" s="1"/>
  <c r="O192" i="24"/>
  <c r="S192" i="24" s="1"/>
  <c r="U192" i="24" s="1"/>
  <c r="Q190" i="24"/>
  <c r="O190" i="24"/>
  <c r="S189" i="24"/>
  <c r="U189" i="24" s="1"/>
  <c r="S187" i="24"/>
  <c r="U187" i="24" s="1"/>
  <c r="S185" i="24"/>
  <c r="U185" i="24" s="1"/>
  <c r="O184" i="24"/>
  <c r="S184" i="24" s="1"/>
  <c r="U184" i="24" s="1"/>
  <c r="S182" i="24"/>
  <c r="U182" i="24" s="1"/>
  <c r="S181" i="24"/>
  <c r="U181" i="24" s="1"/>
  <c r="O180" i="24"/>
  <c r="S180" i="24" s="1"/>
  <c r="U180" i="24" s="1"/>
  <c r="O177" i="24"/>
  <c r="S177" i="24" s="1"/>
  <c r="U177" i="24" s="1"/>
  <c r="O176" i="24"/>
  <c r="S176" i="24" s="1"/>
  <c r="U176" i="24" s="1"/>
  <c r="O175" i="24"/>
  <c r="S175" i="24" s="1"/>
  <c r="U175" i="24" s="1"/>
  <c r="O174" i="24"/>
  <c r="S174" i="24" s="1"/>
  <c r="U174" i="24" s="1"/>
  <c r="O172" i="24"/>
  <c r="S172" i="24" s="1"/>
  <c r="U172" i="24" s="1"/>
  <c r="O171" i="24"/>
  <c r="S171" i="24" s="1"/>
  <c r="U171" i="24" s="1"/>
  <c r="O169" i="24"/>
  <c r="S169" i="24" s="1"/>
  <c r="U169" i="24" s="1"/>
  <c r="O168" i="24"/>
  <c r="S168" i="24" s="1"/>
  <c r="U168" i="24" s="1"/>
  <c r="O167" i="24"/>
  <c r="S167" i="24" s="1"/>
  <c r="U167" i="24" s="1"/>
  <c r="S166" i="24"/>
  <c r="U166" i="24" s="1"/>
  <c r="O164" i="24"/>
  <c r="S164" i="24" s="1"/>
  <c r="U164" i="24" s="1"/>
  <c r="O163" i="24"/>
  <c r="S163" i="24" s="1"/>
  <c r="U163" i="24" s="1"/>
  <c r="O162" i="24"/>
  <c r="S162" i="24" s="1"/>
  <c r="U162" i="24" s="1"/>
  <c r="S161" i="24"/>
  <c r="U161" i="24" s="1"/>
  <c r="O159" i="24"/>
  <c r="S159" i="24" s="1"/>
  <c r="U159" i="24" s="1"/>
  <c r="O158" i="24"/>
  <c r="S158" i="24" s="1"/>
  <c r="U158" i="24" s="1"/>
  <c r="O157" i="24"/>
  <c r="S157" i="24" s="1"/>
  <c r="U157" i="24" s="1"/>
  <c r="O156" i="24"/>
  <c r="S156" i="24" s="1"/>
  <c r="U156" i="24" s="1"/>
  <c r="O155" i="24"/>
  <c r="S155" i="24" s="1"/>
  <c r="U155" i="24" s="1"/>
  <c r="O154" i="24"/>
  <c r="S154" i="24" s="1"/>
  <c r="U154" i="24" s="1"/>
  <c r="O153" i="24"/>
  <c r="S153" i="24" s="1"/>
  <c r="U153" i="24" s="1"/>
  <c r="O152" i="24"/>
  <c r="S152" i="24" s="1"/>
  <c r="U152" i="24" s="1"/>
  <c r="O151" i="24"/>
  <c r="S151" i="24" s="1"/>
  <c r="U151" i="24" s="1"/>
  <c r="O150" i="24"/>
  <c r="S150" i="24" s="1"/>
  <c r="U150" i="24" s="1"/>
  <c r="O149" i="24"/>
  <c r="S149" i="24" s="1"/>
  <c r="U149" i="24" s="1"/>
  <c r="O148" i="24"/>
  <c r="S148" i="24" s="1"/>
  <c r="U148" i="24" s="1"/>
  <c r="S147" i="24"/>
  <c r="U147" i="24" s="1"/>
  <c r="S146" i="24"/>
  <c r="U146" i="24" s="1"/>
  <c r="S143" i="24"/>
  <c r="U143" i="24" s="1"/>
  <c r="S141" i="24"/>
  <c r="U141" i="24" s="1"/>
  <c r="Q139" i="24"/>
  <c r="M138" i="24"/>
  <c r="H138" i="24"/>
  <c r="Q138" i="24" s="1"/>
  <c r="M137" i="24"/>
  <c r="M136" i="24"/>
  <c r="H136" i="24"/>
  <c r="O134" i="24"/>
  <c r="S134" i="24" s="1"/>
  <c r="U134" i="24" s="1"/>
  <c r="O133" i="24"/>
  <c r="S133" i="24" s="1"/>
  <c r="U133" i="24" s="1"/>
  <c r="H137" i="24"/>
  <c r="O132" i="24"/>
  <c r="S132" i="24" s="1"/>
  <c r="U132" i="24" s="1"/>
  <c r="S131" i="24"/>
  <c r="U131" i="24" s="1"/>
  <c r="S128" i="24"/>
  <c r="U128" i="24" s="1"/>
  <c r="O127" i="24"/>
  <c r="S127" i="24" s="1"/>
  <c r="U127" i="24" s="1"/>
  <c r="O126" i="24"/>
  <c r="S126" i="24" s="1"/>
  <c r="U126" i="24" s="1"/>
  <c r="S124" i="24"/>
  <c r="U124" i="24" s="1"/>
  <c r="S123" i="24"/>
  <c r="U123" i="24" s="1"/>
  <c r="S122" i="24"/>
  <c r="U122" i="24" s="1"/>
  <c r="S120" i="24"/>
  <c r="U120" i="24" s="1"/>
  <c r="S119" i="24"/>
  <c r="U119" i="24" s="1"/>
  <c r="S118" i="24"/>
  <c r="U118" i="24" s="1"/>
  <c r="S116" i="24"/>
  <c r="U116" i="24" s="1"/>
  <c r="S115" i="24"/>
  <c r="Q114" i="24"/>
  <c r="O114" i="24"/>
  <c r="S112" i="24"/>
  <c r="U112" i="24" s="1"/>
  <c r="S111" i="24"/>
  <c r="U111" i="24" s="1"/>
  <c r="H111" i="24"/>
  <c r="H123" i="24" s="1"/>
  <c r="S110" i="24"/>
  <c r="U110" i="24" s="1"/>
  <c r="H110" i="24"/>
  <c r="H122" i="24" s="1"/>
  <c r="S108" i="24"/>
  <c r="S107" i="24"/>
  <c r="H107" i="24"/>
  <c r="H119" i="24" s="1"/>
  <c r="S106" i="24"/>
  <c r="U106" i="24" s="1"/>
  <c r="H106" i="24"/>
  <c r="H118" i="24" s="1"/>
  <c r="H103" i="24"/>
  <c r="H115" i="24" s="1"/>
  <c r="O102" i="24"/>
  <c r="S102" i="24" s="1"/>
  <c r="H102" i="24"/>
  <c r="O100" i="24"/>
  <c r="S100" i="24" s="1"/>
  <c r="U100" i="24" s="1"/>
  <c r="O99" i="24"/>
  <c r="S99" i="24" s="1"/>
  <c r="U99" i="24" s="1"/>
  <c r="O98" i="24"/>
  <c r="S98" i="24" s="1"/>
  <c r="U98" i="24" s="1"/>
  <c r="S96" i="24"/>
  <c r="U96" i="24" s="1"/>
  <c r="S92" i="24"/>
  <c r="U92" i="24" s="1"/>
  <c r="S91" i="24"/>
  <c r="U91" i="24" s="1"/>
  <c r="S90" i="24"/>
  <c r="U90" i="24" s="1"/>
  <c r="S88" i="24"/>
  <c r="U88" i="24" s="1"/>
  <c r="S87" i="24"/>
  <c r="U87" i="24" s="1"/>
  <c r="S86" i="24"/>
  <c r="U86" i="24" s="1"/>
  <c r="S84" i="24"/>
  <c r="U84" i="24" s="1"/>
  <c r="S83" i="24"/>
  <c r="Q82" i="24"/>
  <c r="O82" i="24"/>
  <c r="S80" i="24"/>
  <c r="U80" i="24" s="1"/>
  <c r="S79" i="24"/>
  <c r="U79" i="24" s="1"/>
  <c r="H79" i="24"/>
  <c r="H91" i="24" s="1"/>
  <c r="S78" i="24"/>
  <c r="U78" i="24" s="1"/>
  <c r="H78" i="24"/>
  <c r="H90" i="24" s="1"/>
  <c r="S76" i="24"/>
  <c r="S75" i="24"/>
  <c r="H75" i="24"/>
  <c r="H87" i="24" s="1"/>
  <c r="S74" i="24"/>
  <c r="U74" i="24" s="1"/>
  <c r="H74" i="24"/>
  <c r="H86" i="24" s="1"/>
  <c r="O71" i="24"/>
  <c r="S71" i="24" s="1"/>
  <c r="H71" i="24"/>
  <c r="H83" i="24" s="1"/>
  <c r="O70" i="24"/>
  <c r="S70" i="24" s="1"/>
  <c r="H70" i="24"/>
  <c r="O68" i="24"/>
  <c r="S68" i="24" s="1"/>
  <c r="U68" i="24" s="1"/>
  <c r="O67" i="24"/>
  <c r="S67" i="24" s="1"/>
  <c r="U67" i="24" s="1"/>
  <c r="O66" i="24"/>
  <c r="S66" i="24" s="1"/>
  <c r="U66" i="24" s="1"/>
  <c r="Q63" i="24"/>
  <c r="S63" i="24" s="1"/>
  <c r="U63" i="24" s="1"/>
  <c r="Q62" i="24"/>
  <c r="H62" i="24"/>
  <c r="S61" i="24"/>
  <c r="U61" i="24" s="1"/>
  <c r="H61" i="24"/>
  <c r="S60" i="24"/>
  <c r="U60" i="24" s="1"/>
  <c r="H60" i="24"/>
  <c r="Q59" i="24"/>
  <c r="H59" i="24"/>
  <c r="Q58" i="24"/>
  <c r="H58" i="24"/>
  <c r="O58" i="24" s="1"/>
  <c r="S56" i="24"/>
  <c r="U56" i="24" s="1"/>
  <c r="H56" i="24"/>
  <c r="S55" i="24"/>
  <c r="U55" i="24" s="1"/>
  <c r="Q52" i="24"/>
  <c r="H52" i="24"/>
  <c r="S51" i="24"/>
  <c r="U51" i="24" s="1"/>
  <c r="H51" i="24"/>
  <c r="S50" i="24"/>
  <c r="U50" i="24" s="1"/>
  <c r="H50" i="24"/>
  <c r="Q49" i="24"/>
  <c r="O49" i="24"/>
  <c r="H49" i="24"/>
  <c r="Q48" i="24"/>
  <c r="H48" i="24"/>
  <c r="O48" i="24" s="1"/>
  <c r="S46" i="24"/>
  <c r="U46" i="24" s="1"/>
  <c r="H46" i="24"/>
  <c r="S45" i="24"/>
  <c r="U45" i="24" s="1"/>
  <c r="Q42" i="24"/>
  <c r="Q41" i="24"/>
  <c r="O40" i="24"/>
  <c r="S39" i="24"/>
  <c r="U39" i="24" s="1"/>
  <c r="S38" i="24"/>
  <c r="U38" i="24" s="1"/>
  <c r="S37" i="24"/>
  <c r="U37" i="24" s="1"/>
  <c r="S36" i="24"/>
  <c r="U36" i="24" s="1"/>
  <c r="S35" i="24"/>
  <c r="U35" i="24" s="1"/>
  <c r="S34" i="24"/>
  <c r="U34" i="24" s="1"/>
  <c r="S33" i="24"/>
  <c r="U33" i="24" s="1"/>
  <c r="S32" i="24"/>
  <c r="U32" i="24" s="1"/>
  <c r="Q31" i="24"/>
  <c r="U30" i="24"/>
  <c r="S28" i="24"/>
  <c r="U28" i="24" s="1"/>
  <c r="A3" i="24"/>
  <c r="A2" i="24"/>
  <c r="M226" i="20"/>
  <c r="G45" i="18"/>
  <c r="G44" i="18"/>
  <c r="G43" i="18"/>
  <c r="H42" i="18"/>
  <c r="G42" i="18"/>
  <c r="G41" i="18"/>
  <c r="G40" i="18"/>
  <c r="H39" i="18"/>
  <c r="H47" i="18" s="1"/>
  <c r="G39" i="18"/>
  <c r="H31" i="18"/>
  <c r="G31" i="18"/>
  <c r="H30" i="18"/>
  <c r="I30" i="18" s="1"/>
  <c r="G30" i="18"/>
  <c r="G29" i="18"/>
  <c r="H28" i="18"/>
  <c r="I28" i="18" s="1"/>
  <c r="G28" i="18"/>
  <c r="F24" i="18"/>
  <c r="G24" i="18" s="1"/>
  <c r="I19" i="18"/>
  <c r="H19" i="18"/>
  <c r="G19" i="18"/>
  <c r="F19" i="18"/>
  <c r="I14" i="18"/>
  <c r="H14" i="18"/>
  <c r="G14" i="18"/>
  <c r="F14" i="18"/>
  <c r="H8" i="18"/>
  <c r="G8" i="18"/>
  <c r="F8" i="18"/>
  <c r="H7" i="18"/>
  <c r="G7" i="18"/>
  <c r="F7" i="18"/>
  <c r="I6" i="18"/>
  <c r="H6" i="18"/>
  <c r="G6" i="18"/>
  <c r="F6" i="18"/>
  <c r="M15" i="4"/>
  <c r="U8" i="4"/>
  <c r="T8" i="4"/>
  <c r="S8" i="4"/>
  <c r="R8" i="4"/>
  <c r="W8" i="4" s="1"/>
  <c r="Q8" i="4"/>
  <c r="P8" i="4"/>
  <c r="U7" i="4"/>
  <c r="T7" i="4"/>
  <c r="S7" i="4"/>
  <c r="R7" i="4"/>
  <c r="W7" i="4" s="1"/>
  <c r="Q7" i="4"/>
  <c r="P7" i="4"/>
  <c r="U6" i="4"/>
  <c r="U15" i="4" s="1"/>
  <c r="T6" i="4"/>
  <c r="S6" i="4"/>
  <c r="R6" i="4"/>
  <c r="Q6" i="4"/>
  <c r="Q15" i="4" s="1"/>
  <c r="P6" i="4"/>
  <c r="W6" i="4" s="1"/>
  <c r="U5" i="4"/>
  <c r="T5" i="4"/>
  <c r="S5" i="4"/>
  <c r="R5" i="4"/>
  <c r="Q5" i="4"/>
  <c r="P5" i="4"/>
  <c r="O5" i="4"/>
  <c r="N5" i="4"/>
  <c r="W5" i="4" s="1"/>
  <c r="M5" i="4"/>
  <c r="U4" i="4"/>
  <c r="T4" i="4"/>
  <c r="S4" i="4"/>
  <c r="R4" i="4"/>
  <c r="Q4" i="4"/>
  <c r="P4" i="4"/>
  <c r="O4" i="4"/>
  <c r="N4" i="4"/>
  <c r="W4" i="4" s="1"/>
  <c r="M4" i="4"/>
  <c r="U3" i="4"/>
  <c r="T3" i="4"/>
  <c r="T15" i="4" s="1"/>
  <c r="S3" i="4"/>
  <c r="S15" i="4" s="1"/>
  <c r="R3" i="4"/>
  <c r="R15" i="4" s="1"/>
  <c r="Q3" i="4"/>
  <c r="P3" i="4"/>
  <c r="P15" i="4" s="1"/>
  <c r="O3" i="4"/>
  <c r="O15" i="4" s="1"/>
  <c r="N3" i="4"/>
  <c r="W3" i="4" s="1"/>
  <c r="M3" i="4"/>
  <c r="I425" i="8"/>
  <c r="G424" i="8"/>
  <c r="I424" i="8" s="1"/>
  <c r="I423" i="8"/>
  <c r="I422" i="8"/>
  <c r="D419" i="8"/>
  <c r="I412" i="8"/>
  <c r="I411" i="8"/>
  <c r="D408" i="8"/>
  <c r="L403" i="8"/>
  <c r="J403" i="8"/>
  <c r="N402" i="8"/>
  <c r="P402" i="8" s="1"/>
  <c r="L399" i="8"/>
  <c r="N399" i="8" s="1"/>
  <c r="P399" i="8" s="1"/>
  <c r="J399" i="8"/>
  <c r="L398" i="8"/>
  <c r="N398" i="8" s="1"/>
  <c r="P398" i="8" s="1"/>
  <c r="J398" i="8"/>
  <c r="L397" i="8"/>
  <c r="N397" i="8" s="1"/>
  <c r="P397" i="8" s="1"/>
  <c r="J397" i="8"/>
  <c r="L396" i="8"/>
  <c r="N396" i="8" s="1"/>
  <c r="P396" i="8" s="1"/>
  <c r="J396" i="8"/>
  <c r="L395" i="8"/>
  <c r="N395" i="8" s="1"/>
  <c r="P395" i="8" s="1"/>
  <c r="J395" i="8"/>
  <c r="L394" i="8"/>
  <c r="N394" i="8" s="1"/>
  <c r="P394" i="8" s="1"/>
  <c r="J394" i="8"/>
  <c r="L391" i="8"/>
  <c r="J391" i="8"/>
  <c r="L390" i="8"/>
  <c r="J390" i="8"/>
  <c r="L389" i="8"/>
  <c r="J389" i="8"/>
  <c r="L388" i="8"/>
  <c r="J388" i="8"/>
  <c r="L387" i="8"/>
  <c r="J387" i="8"/>
  <c r="L386" i="8"/>
  <c r="J386" i="8"/>
  <c r="J383" i="8"/>
  <c r="J382" i="8"/>
  <c r="J381" i="8"/>
  <c r="J380" i="8"/>
  <c r="J379" i="8"/>
  <c r="J378" i="8"/>
  <c r="L375" i="8"/>
  <c r="N375" i="8" s="1"/>
  <c r="P375" i="8" s="1"/>
  <c r="L374" i="8"/>
  <c r="N374" i="8" s="1"/>
  <c r="P374" i="8" s="1"/>
  <c r="L371" i="8"/>
  <c r="N371" i="8" s="1"/>
  <c r="P371" i="8" s="1"/>
  <c r="L370" i="8"/>
  <c r="N370" i="8" s="1"/>
  <c r="P370" i="8" s="1"/>
  <c r="L367" i="8"/>
  <c r="N367" i="8" s="1"/>
  <c r="P367" i="8" s="1"/>
  <c r="L366" i="8"/>
  <c r="N366" i="8" s="1"/>
  <c r="P366" i="8" s="1"/>
  <c r="L363" i="8"/>
  <c r="N363" i="8" s="1"/>
  <c r="P363" i="8" s="1"/>
  <c r="L362" i="8"/>
  <c r="N362" i="8" s="1"/>
  <c r="P362" i="8" s="1"/>
  <c r="L359" i="8"/>
  <c r="N359" i="8" s="1"/>
  <c r="P359" i="8" s="1"/>
  <c r="L358" i="8"/>
  <c r="N358" i="8" s="1"/>
  <c r="P358" i="8" s="1"/>
  <c r="L355" i="8"/>
  <c r="N355" i="8" s="1"/>
  <c r="P355" i="8" s="1"/>
  <c r="L354" i="8"/>
  <c r="N354" i="8" s="1"/>
  <c r="P354" i="8" s="1"/>
  <c r="L351" i="8"/>
  <c r="N351" i="8" s="1"/>
  <c r="P351" i="8" s="1"/>
  <c r="L350" i="8"/>
  <c r="N350" i="8" s="1"/>
  <c r="P350" i="8" s="1"/>
  <c r="L347" i="8"/>
  <c r="N347" i="8" s="1"/>
  <c r="P347" i="8" s="1"/>
  <c r="J347" i="8"/>
  <c r="L346" i="8"/>
  <c r="N346" i="8" s="1"/>
  <c r="P346" i="8" s="1"/>
  <c r="J346" i="8"/>
  <c r="H346" i="8"/>
  <c r="J343" i="8"/>
  <c r="H342" i="8"/>
  <c r="J342" i="8" s="1"/>
  <c r="L339" i="8"/>
  <c r="N339" i="8" s="1"/>
  <c r="P339" i="8" s="1"/>
  <c r="L338" i="8"/>
  <c r="N338" i="8" s="1"/>
  <c r="P338" i="8" s="1"/>
  <c r="L333" i="8"/>
  <c r="N333" i="8" s="1"/>
  <c r="P333" i="8" s="1"/>
  <c r="L332" i="8"/>
  <c r="N332" i="8" s="1"/>
  <c r="P332" i="8" s="1"/>
  <c r="L330" i="8"/>
  <c r="N330" i="8" s="1"/>
  <c r="P330" i="8" s="1"/>
  <c r="L329" i="8"/>
  <c r="N329" i="8" s="1"/>
  <c r="P329" i="8" s="1"/>
  <c r="N327" i="8"/>
  <c r="P327" i="8" s="1"/>
  <c r="J327" i="8"/>
  <c r="L326" i="8"/>
  <c r="N326" i="8" s="1"/>
  <c r="P326" i="8" s="1"/>
  <c r="J326" i="8"/>
  <c r="N325" i="8"/>
  <c r="P325" i="8" s="1"/>
  <c r="J325" i="8"/>
  <c r="L324" i="8"/>
  <c r="N324" i="8" s="1"/>
  <c r="P324" i="8" s="1"/>
  <c r="J324" i="8"/>
  <c r="J323" i="8"/>
  <c r="N322" i="8"/>
  <c r="P322" i="8" s="1"/>
  <c r="J322" i="8"/>
  <c r="N321" i="8"/>
  <c r="P321" i="8" s="1"/>
  <c r="I320" i="8"/>
  <c r="J320" i="8" s="1"/>
  <c r="J319" i="8"/>
  <c r="J318" i="8"/>
  <c r="J317" i="8"/>
  <c r="L316" i="8"/>
  <c r="J316" i="8"/>
  <c r="L315" i="8"/>
  <c r="J315" i="8"/>
  <c r="L314" i="8"/>
  <c r="J314" i="8"/>
  <c r="J313" i="8"/>
  <c r="N313" i="8" s="1"/>
  <c r="P313" i="8" s="1"/>
  <c r="L312" i="8"/>
  <c r="N312" i="8" s="1"/>
  <c r="P312" i="8" s="1"/>
  <c r="J312" i="8"/>
  <c r="L311" i="8"/>
  <c r="N311" i="8" s="1"/>
  <c r="P311" i="8" s="1"/>
  <c r="J311" i="8"/>
  <c r="L310" i="8"/>
  <c r="N310" i="8" s="1"/>
  <c r="P310" i="8" s="1"/>
  <c r="J310" i="8"/>
  <c r="J309" i="8"/>
  <c r="L308" i="8"/>
  <c r="N308" i="8" s="1"/>
  <c r="P308" i="8" s="1"/>
  <c r="J308" i="8"/>
  <c r="J307" i="8"/>
  <c r="L306" i="8"/>
  <c r="N306" i="8" s="1"/>
  <c r="P306" i="8" s="1"/>
  <c r="J306" i="8"/>
  <c r="L305" i="8"/>
  <c r="N305" i="8" s="1"/>
  <c r="P305" i="8" s="1"/>
  <c r="J305" i="8"/>
  <c r="L304" i="8"/>
  <c r="N304" i="8" s="1"/>
  <c r="P304" i="8" s="1"/>
  <c r="J304" i="8"/>
  <c r="L303" i="8"/>
  <c r="N303" i="8" s="1"/>
  <c r="P303" i="8" s="1"/>
  <c r="J303" i="8"/>
  <c r="N301" i="8"/>
  <c r="P301" i="8" s="1"/>
  <c r="L300" i="8"/>
  <c r="J300" i="8"/>
  <c r="I300" i="8"/>
  <c r="N299" i="8"/>
  <c r="P299" i="8" s="1"/>
  <c r="J299" i="8"/>
  <c r="J298" i="8"/>
  <c r="N298" i="8" s="1"/>
  <c r="P298" i="8" s="1"/>
  <c r="P297" i="8"/>
  <c r="N297" i="8"/>
  <c r="J297" i="8"/>
  <c r="N295" i="8"/>
  <c r="P295" i="8" s="1"/>
  <c r="L291" i="8"/>
  <c r="J291" i="8"/>
  <c r="L290" i="8"/>
  <c r="J290" i="8"/>
  <c r="N290" i="8" s="1"/>
  <c r="P290" i="8" s="1"/>
  <c r="I290" i="8"/>
  <c r="N289" i="8"/>
  <c r="P289" i="8" s="1"/>
  <c r="L289" i="8"/>
  <c r="J289" i="8"/>
  <c r="N288" i="8"/>
  <c r="P288" i="8" s="1"/>
  <c r="L288" i="8"/>
  <c r="J288" i="8"/>
  <c r="L287" i="8"/>
  <c r="N287" i="8" s="1"/>
  <c r="P287" i="8" s="1"/>
  <c r="J287" i="8"/>
  <c r="L285" i="8"/>
  <c r="N285" i="8" s="1"/>
  <c r="P285" i="8" s="1"/>
  <c r="J285" i="8"/>
  <c r="J281" i="8"/>
  <c r="L280" i="8"/>
  <c r="J280" i="8"/>
  <c r="I280" i="8"/>
  <c r="L279" i="8"/>
  <c r="J279" i="8"/>
  <c r="L278" i="8"/>
  <c r="J278" i="8"/>
  <c r="N278" i="8" s="1"/>
  <c r="N277" i="8"/>
  <c r="L277" i="8"/>
  <c r="J277" i="8"/>
  <c r="J275" i="8"/>
  <c r="J270" i="8"/>
  <c r="N269" i="8"/>
  <c r="P269" i="8" s="1"/>
  <c r="L268" i="8"/>
  <c r="J268" i="8"/>
  <c r="L267" i="8"/>
  <c r="J267" i="8"/>
  <c r="J266" i="8"/>
  <c r="J265" i="8"/>
  <c r="G265" i="8"/>
  <c r="L264" i="8"/>
  <c r="N264" i="8" s="1"/>
  <c r="P264" i="8" s="1"/>
  <c r="J264" i="8"/>
  <c r="G264" i="8"/>
  <c r="L263" i="8"/>
  <c r="N263" i="8" s="1"/>
  <c r="P263" i="8" s="1"/>
  <c r="G263" i="8"/>
  <c r="J263" i="8" s="1"/>
  <c r="L262" i="8"/>
  <c r="J262" i="8"/>
  <c r="L261" i="8"/>
  <c r="J261" i="8"/>
  <c r="J260" i="8"/>
  <c r="J259" i="8"/>
  <c r="L258" i="8"/>
  <c r="J258" i="8"/>
  <c r="L257" i="8"/>
  <c r="J257" i="8"/>
  <c r="J256" i="8"/>
  <c r="N253" i="8"/>
  <c r="P253" i="8" s="1"/>
  <c r="N252" i="8"/>
  <c r="P252" i="8" s="1"/>
  <c r="N251" i="8"/>
  <c r="P251" i="8" s="1"/>
  <c r="J250" i="8"/>
  <c r="N249" i="8"/>
  <c r="P249" i="8" s="1"/>
  <c r="L248" i="8"/>
  <c r="L247" i="8"/>
  <c r="J246" i="8"/>
  <c r="J245" i="8"/>
  <c r="J244" i="8"/>
  <c r="J243" i="8"/>
  <c r="L239" i="8"/>
  <c r="J239" i="8"/>
  <c r="J238" i="8"/>
  <c r="L237" i="8"/>
  <c r="J237" i="8"/>
  <c r="J236" i="8"/>
  <c r="N235" i="8"/>
  <c r="P235" i="8" s="1"/>
  <c r="N234" i="8"/>
  <c r="P234" i="8" s="1"/>
  <c r="N233" i="8"/>
  <c r="L229" i="8"/>
  <c r="N229" i="8" s="1"/>
  <c r="P229" i="8" s="1"/>
  <c r="J229" i="8"/>
  <c r="L228" i="8"/>
  <c r="N228" i="8" s="1"/>
  <c r="P228" i="8" s="1"/>
  <c r="J228" i="8"/>
  <c r="L227" i="8"/>
  <c r="N227" i="8" s="1"/>
  <c r="P227" i="8" s="1"/>
  <c r="J227" i="8"/>
  <c r="J226" i="8"/>
  <c r="L225" i="8"/>
  <c r="N225" i="8" s="1"/>
  <c r="P225" i="8" s="1"/>
  <c r="J225" i="8"/>
  <c r="L224" i="8"/>
  <c r="N224" i="8" s="1"/>
  <c r="P224" i="8" s="1"/>
  <c r="J224" i="8"/>
  <c r="N221" i="8"/>
  <c r="P221" i="8" s="1"/>
  <c r="L220" i="8"/>
  <c r="N220" i="8" s="1"/>
  <c r="P220" i="8" s="1"/>
  <c r="L219" i="8"/>
  <c r="N219" i="8" s="1"/>
  <c r="P219" i="8" s="1"/>
  <c r="J219" i="8"/>
  <c r="J218" i="8"/>
  <c r="L217" i="8"/>
  <c r="N217" i="8" s="1"/>
  <c r="P217" i="8" s="1"/>
  <c r="J217" i="8"/>
  <c r="J216" i="8"/>
  <c r="N215" i="8"/>
  <c r="P215" i="8" s="1"/>
  <c r="L214" i="8"/>
  <c r="J214" i="8"/>
  <c r="L213" i="8"/>
  <c r="J213" i="8"/>
  <c r="N210" i="8"/>
  <c r="P210" i="8" s="1"/>
  <c r="L209" i="8"/>
  <c r="N209" i="8" s="1"/>
  <c r="P209" i="8" s="1"/>
  <c r="J209" i="8"/>
  <c r="L208" i="8"/>
  <c r="N208" i="8" s="1"/>
  <c r="P208" i="8" s="1"/>
  <c r="J208" i="8"/>
  <c r="N207" i="8"/>
  <c r="P207" i="8" s="1"/>
  <c r="L206" i="8"/>
  <c r="J206" i="8"/>
  <c r="L205" i="8"/>
  <c r="J205" i="8"/>
  <c r="L204" i="8"/>
  <c r="J204" i="8"/>
  <c r="L203" i="8"/>
  <c r="J203" i="8"/>
  <c r="J202" i="8"/>
  <c r="J199" i="8"/>
  <c r="H199" i="8"/>
  <c r="J198" i="8"/>
  <c r="H198" i="8"/>
  <c r="H197" i="8"/>
  <c r="J197" i="8" s="1"/>
  <c r="H196" i="8"/>
  <c r="J196" i="8" s="1"/>
  <c r="N195" i="8"/>
  <c r="P195" i="8" s="1"/>
  <c r="N194" i="8"/>
  <c r="P194" i="8" s="1"/>
  <c r="N193" i="8"/>
  <c r="P193" i="8" s="1"/>
  <c r="N192" i="8"/>
  <c r="L188" i="8"/>
  <c r="L186" i="8"/>
  <c r="L184" i="8"/>
  <c r="L182" i="8"/>
  <c r="L180" i="8"/>
  <c r="G180" i="8"/>
  <c r="G181" i="8" s="1"/>
  <c r="L179" i="8"/>
  <c r="N179" i="8" s="1"/>
  <c r="P179" i="8" s="1"/>
  <c r="G176" i="8"/>
  <c r="G175" i="8"/>
  <c r="L174" i="8"/>
  <c r="J174" i="8"/>
  <c r="G174" i="8"/>
  <c r="J173" i="8"/>
  <c r="G173" i="8"/>
  <c r="L172" i="8"/>
  <c r="N172" i="8" s="1"/>
  <c r="P172" i="8" s="1"/>
  <c r="J172" i="8"/>
  <c r="G172" i="8"/>
  <c r="J171" i="8"/>
  <c r="G171" i="8"/>
  <c r="N170" i="8"/>
  <c r="P170" i="8" s="1"/>
  <c r="J170" i="8"/>
  <c r="G170" i="8"/>
  <c r="L169" i="8"/>
  <c r="N169" i="8" s="1"/>
  <c r="P169" i="8" s="1"/>
  <c r="J169" i="8"/>
  <c r="G169" i="8"/>
  <c r="L168" i="8"/>
  <c r="N168" i="8" s="1"/>
  <c r="P168" i="8" s="1"/>
  <c r="J168" i="8"/>
  <c r="G168" i="8"/>
  <c r="N165" i="8"/>
  <c r="P165" i="8" s="1"/>
  <c r="L164" i="8"/>
  <c r="N164" i="8" s="1"/>
  <c r="P164" i="8" s="1"/>
  <c r="J164" i="8"/>
  <c r="L163" i="8"/>
  <c r="J163" i="8"/>
  <c r="G163" i="8"/>
  <c r="G164" i="8" s="1"/>
  <c r="G165" i="8" s="1"/>
  <c r="L162" i="8"/>
  <c r="N162" i="8" s="1"/>
  <c r="P162" i="8" s="1"/>
  <c r="L159" i="8"/>
  <c r="J159" i="8"/>
  <c r="L158" i="8"/>
  <c r="J158" i="8"/>
  <c r="L157" i="8"/>
  <c r="J157" i="8"/>
  <c r="L156" i="8"/>
  <c r="J156" i="8"/>
  <c r="J155" i="8"/>
  <c r="L154" i="8"/>
  <c r="J154" i="8"/>
  <c r="L153" i="8"/>
  <c r="J153" i="8"/>
  <c r="J152" i="8"/>
  <c r="N147" i="8"/>
  <c r="P147" i="8" s="1"/>
  <c r="P144" i="8"/>
  <c r="N144" i="8"/>
  <c r="J143" i="8"/>
  <c r="L142" i="8"/>
  <c r="N142" i="8" s="1"/>
  <c r="P142" i="8" s="1"/>
  <c r="J142" i="8"/>
  <c r="J139" i="8"/>
  <c r="L138" i="8"/>
  <c r="N138" i="8" s="1"/>
  <c r="P138" i="8" s="1"/>
  <c r="J138" i="8"/>
  <c r="J137" i="8"/>
  <c r="N136" i="8"/>
  <c r="P136" i="8" s="1"/>
  <c r="N135" i="8"/>
  <c r="P135" i="8" s="1"/>
  <c r="N134" i="8"/>
  <c r="P134" i="8" s="1"/>
  <c r="P133" i="8"/>
  <c r="N133" i="8"/>
  <c r="N132" i="8"/>
  <c r="P132" i="8" s="1"/>
  <c r="P129" i="8"/>
  <c r="L128" i="8"/>
  <c r="L126" i="8"/>
  <c r="L124" i="8"/>
  <c r="L123" i="8"/>
  <c r="L122" i="8"/>
  <c r="G122" i="8"/>
  <c r="G123" i="8" s="1"/>
  <c r="J121" i="8"/>
  <c r="J118" i="8"/>
  <c r="N118" i="8" s="1"/>
  <c r="P118" i="8" s="1"/>
  <c r="L117" i="8"/>
  <c r="J117" i="8"/>
  <c r="J116" i="8"/>
  <c r="L115" i="8"/>
  <c r="J115" i="8"/>
  <c r="J114" i="8"/>
  <c r="L113" i="8"/>
  <c r="J113" i="8"/>
  <c r="J110" i="8"/>
  <c r="F109" i="8"/>
  <c r="L106" i="8"/>
  <c r="J106" i="8"/>
  <c r="L105" i="8"/>
  <c r="J105" i="8"/>
  <c r="J102" i="8"/>
  <c r="J101" i="8"/>
  <c r="L98" i="8"/>
  <c r="J98" i="8"/>
  <c r="L97" i="8"/>
  <c r="J97" i="8"/>
  <c r="J95" i="8"/>
  <c r="N95" i="8" s="1"/>
  <c r="P95" i="8" s="1"/>
  <c r="P94" i="8"/>
  <c r="J94" i="8"/>
  <c r="N94" i="8" s="1"/>
  <c r="J93" i="8"/>
  <c r="N93" i="8" s="1"/>
  <c r="P93" i="8" s="1"/>
  <c r="N92" i="8"/>
  <c r="P92" i="8" s="1"/>
  <c r="J92" i="8"/>
  <c r="P90" i="8"/>
  <c r="P89" i="8"/>
  <c r="P88" i="8"/>
  <c r="P87" i="8"/>
  <c r="L85" i="8"/>
  <c r="N85" i="8" s="1"/>
  <c r="P85" i="8" s="1"/>
  <c r="L84" i="8"/>
  <c r="N84" i="8" s="1"/>
  <c r="P84" i="8" s="1"/>
  <c r="L83" i="8"/>
  <c r="N83" i="8" s="1"/>
  <c r="P83" i="8" s="1"/>
  <c r="L82" i="8"/>
  <c r="N82" i="8" s="1"/>
  <c r="P82" i="8" s="1"/>
  <c r="L80" i="8"/>
  <c r="J80" i="8"/>
  <c r="L79" i="8"/>
  <c r="J79" i="8"/>
  <c r="L78" i="8"/>
  <c r="J78" i="8"/>
  <c r="L77" i="8"/>
  <c r="J77" i="8"/>
  <c r="J75" i="8"/>
  <c r="J74" i="8"/>
  <c r="J73" i="8"/>
  <c r="J72" i="8"/>
  <c r="L70" i="8"/>
  <c r="J70" i="8"/>
  <c r="L69" i="8"/>
  <c r="J69" i="8"/>
  <c r="L68" i="8"/>
  <c r="J68" i="8"/>
  <c r="L67" i="8"/>
  <c r="J67" i="8"/>
  <c r="J65" i="8"/>
  <c r="J64" i="8"/>
  <c r="J63" i="8"/>
  <c r="J62" i="8"/>
  <c r="N60" i="8"/>
  <c r="P60" i="8" s="1"/>
  <c r="P59" i="8"/>
  <c r="N59" i="8"/>
  <c r="N58" i="8"/>
  <c r="P58" i="8" s="1"/>
  <c r="P57" i="8"/>
  <c r="N57" i="8"/>
  <c r="J55" i="8"/>
  <c r="N55" i="8" s="1"/>
  <c r="P55" i="8" s="1"/>
  <c r="J54" i="8"/>
  <c r="N54" i="8" s="1"/>
  <c r="P54" i="8" s="1"/>
  <c r="P53" i="8"/>
  <c r="N53" i="8"/>
  <c r="J53" i="8"/>
  <c r="N52" i="8"/>
  <c r="P52" i="8" s="1"/>
  <c r="J52" i="8"/>
  <c r="L50" i="8"/>
  <c r="J50" i="8"/>
  <c r="L49" i="8"/>
  <c r="J49" i="8"/>
  <c r="L48" i="8"/>
  <c r="J48" i="8"/>
  <c r="L47" i="8"/>
  <c r="J47" i="8"/>
  <c r="N45" i="8"/>
  <c r="P45" i="8" s="1"/>
  <c r="P44" i="8"/>
  <c r="N44" i="8"/>
  <c r="N43" i="8"/>
  <c r="P43" i="8" s="1"/>
  <c r="P42" i="8"/>
  <c r="N42" i="8"/>
  <c r="L40" i="8"/>
  <c r="J40" i="8"/>
  <c r="L39" i="8"/>
  <c r="J39" i="8"/>
  <c r="L38" i="8"/>
  <c r="J38" i="8"/>
  <c r="L37" i="8"/>
  <c r="J37" i="8"/>
  <c r="L35" i="8"/>
  <c r="J35" i="8"/>
  <c r="L34" i="8"/>
  <c r="J34" i="8"/>
  <c r="L33" i="8"/>
  <c r="J33" i="8"/>
  <c r="L32" i="8"/>
  <c r="J32" i="8"/>
  <c r="L30" i="8"/>
  <c r="J30" i="8"/>
  <c r="L29" i="8"/>
  <c r="J29" i="8"/>
  <c r="L28" i="8"/>
  <c r="J28" i="8"/>
  <c r="L27" i="8"/>
  <c r="J27" i="8"/>
  <c r="L25" i="8"/>
  <c r="N25" i="8" s="1"/>
  <c r="P25" i="8" s="1"/>
  <c r="L24" i="8"/>
  <c r="N24" i="8" s="1"/>
  <c r="P24" i="8" s="1"/>
  <c r="L23" i="8"/>
  <c r="N23" i="8" s="1"/>
  <c r="P23" i="8" s="1"/>
  <c r="L22" i="8"/>
  <c r="N22" i="8" s="1"/>
  <c r="P22" i="8" s="1"/>
  <c r="L20" i="8"/>
  <c r="J20" i="8"/>
  <c r="L19" i="8"/>
  <c r="J19" i="8"/>
  <c r="L18" i="8"/>
  <c r="J18" i="8"/>
  <c r="L16" i="8"/>
  <c r="J16" i="8"/>
  <c r="L15" i="8"/>
  <c r="J15" i="8"/>
  <c r="L14" i="8"/>
  <c r="J14" i="8"/>
  <c r="L12" i="8"/>
  <c r="J12" i="8"/>
  <c r="L11" i="8"/>
  <c r="J11" i="8"/>
  <c r="L10" i="8"/>
  <c r="J10" i="8"/>
  <c r="L8" i="8"/>
  <c r="J8" i="8"/>
  <c r="L7" i="8"/>
  <c r="J7" i="8"/>
  <c r="L6" i="8"/>
  <c r="J6" i="8"/>
  <c r="J4" i="8"/>
  <c r="J3" i="8"/>
  <c r="J2" i="8"/>
  <c r="G425" i="11"/>
  <c r="G423" i="11"/>
  <c r="G422" i="11"/>
  <c r="B419" i="11"/>
  <c r="E424" i="11" s="1"/>
  <c r="G424" i="11" s="1"/>
  <c r="G412" i="11"/>
  <c r="G411" i="11"/>
  <c r="B408" i="11"/>
  <c r="J403" i="11"/>
  <c r="L403" i="11" s="1"/>
  <c r="N403" i="11" s="1"/>
  <c r="H403" i="11"/>
  <c r="L402" i="11"/>
  <c r="N402" i="11" s="1"/>
  <c r="J399" i="11"/>
  <c r="H399" i="11"/>
  <c r="J398" i="11"/>
  <c r="H398" i="11"/>
  <c r="J397" i="11"/>
  <c r="H397" i="11"/>
  <c r="J396" i="11"/>
  <c r="H396" i="11"/>
  <c r="J395" i="11"/>
  <c r="H395" i="11"/>
  <c r="J394" i="11"/>
  <c r="H394" i="11"/>
  <c r="J391" i="11"/>
  <c r="L391" i="11" s="1"/>
  <c r="N391" i="11" s="1"/>
  <c r="H391" i="11"/>
  <c r="J390" i="11"/>
  <c r="L390" i="11" s="1"/>
  <c r="N390" i="11" s="1"/>
  <c r="H390" i="11"/>
  <c r="J389" i="11"/>
  <c r="L389" i="11" s="1"/>
  <c r="N389" i="11" s="1"/>
  <c r="H389" i="11"/>
  <c r="J388" i="11"/>
  <c r="L388" i="11" s="1"/>
  <c r="N388" i="11" s="1"/>
  <c r="H388" i="11"/>
  <c r="J387" i="11"/>
  <c r="L387" i="11" s="1"/>
  <c r="N387" i="11" s="1"/>
  <c r="H387" i="11"/>
  <c r="J386" i="11"/>
  <c r="L386" i="11" s="1"/>
  <c r="N386" i="11" s="1"/>
  <c r="H386" i="11"/>
  <c r="H383" i="11"/>
  <c r="H382" i="11"/>
  <c r="H381" i="11"/>
  <c r="H380" i="11"/>
  <c r="H379" i="11"/>
  <c r="H378" i="11"/>
  <c r="J375" i="11"/>
  <c r="L375" i="11" s="1"/>
  <c r="N375" i="11" s="1"/>
  <c r="J374" i="11"/>
  <c r="L374" i="11" s="1"/>
  <c r="N374" i="11" s="1"/>
  <c r="J371" i="11"/>
  <c r="L371" i="11" s="1"/>
  <c r="N371" i="11" s="1"/>
  <c r="J370" i="11"/>
  <c r="L370" i="11" s="1"/>
  <c r="N370" i="11" s="1"/>
  <c r="J367" i="11"/>
  <c r="L367" i="11" s="1"/>
  <c r="N367" i="11" s="1"/>
  <c r="J366" i="11"/>
  <c r="L366" i="11" s="1"/>
  <c r="N366" i="11" s="1"/>
  <c r="J363" i="11"/>
  <c r="L363" i="11" s="1"/>
  <c r="N363" i="11" s="1"/>
  <c r="J362" i="11"/>
  <c r="L362" i="11" s="1"/>
  <c r="N362" i="11" s="1"/>
  <c r="J359" i="11"/>
  <c r="L359" i="11" s="1"/>
  <c r="N359" i="11" s="1"/>
  <c r="J358" i="11"/>
  <c r="L358" i="11" s="1"/>
  <c r="N358" i="11" s="1"/>
  <c r="J355" i="11"/>
  <c r="L355" i="11" s="1"/>
  <c r="N355" i="11" s="1"/>
  <c r="J354" i="11"/>
  <c r="L354" i="11" s="1"/>
  <c r="N354" i="11" s="1"/>
  <c r="J351" i="11"/>
  <c r="L351" i="11" s="1"/>
  <c r="N351" i="11" s="1"/>
  <c r="J350" i="11"/>
  <c r="L350" i="11" s="1"/>
  <c r="N350" i="11" s="1"/>
  <c r="J347" i="11"/>
  <c r="H347" i="11"/>
  <c r="J346" i="11"/>
  <c r="H346" i="11"/>
  <c r="F346" i="11"/>
  <c r="H343" i="11"/>
  <c r="F342" i="11"/>
  <c r="H342" i="11" s="1"/>
  <c r="J339" i="11"/>
  <c r="L339" i="11" s="1"/>
  <c r="N339" i="11" s="1"/>
  <c r="J338" i="11"/>
  <c r="L338" i="11" s="1"/>
  <c r="N338" i="11" s="1"/>
  <c r="J333" i="11"/>
  <c r="L333" i="11" s="1"/>
  <c r="N333" i="11" s="1"/>
  <c r="J332" i="11"/>
  <c r="L332" i="11" s="1"/>
  <c r="N332" i="11" s="1"/>
  <c r="J330" i="11"/>
  <c r="L330" i="11" s="1"/>
  <c r="N330" i="11" s="1"/>
  <c r="J329" i="11"/>
  <c r="L329" i="11" s="1"/>
  <c r="N329" i="11" s="1"/>
  <c r="L327" i="11"/>
  <c r="N327" i="11" s="1"/>
  <c r="H327" i="11"/>
  <c r="J326" i="11"/>
  <c r="H326" i="11"/>
  <c r="H325" i="11"/>
  <c r="L325" i="11" s="1"/>
  <c r="N325" i="11" s="1"/>
  <c r="J324" i="11"/>
  <c r="H324" i="11"/>
  <c r="H323" i="11"/>
  <c r="H322" i="11"/>
  <c r="L322" i="11" s="1"/>
  <c r="N322" i="11" s="1"/>
  <c r="L321" i="11"/>
  <c r="N321" i="11" s="1"/>
  <c r="G320" i="11"/>
  <c r="H320" i="11" s="1"/>
  <c r="H319" i="11"/>
  <c r="H318" i="11"/>
  <c r="H317" i="11"/>
  <c r="J316" i="11"/>
  <c r="L316" i="11" s="1"/>
  <c r="N316" i="11" s="1"/>
  <c r="H316" i="11"/>
  <c r="J315" i="11"/>
  <c r="L315" i="11" s="1"/>
  <c r="N315" i="11" s="1"/>
  <c r="H315" i="11"/>
  <c r="J314" i="11"/>
  <c r="L314" i="11" s="1"/>
  <c r="N314" i="11" s="1"/>
  <c r="H314" i="11"/>
  <c r="H313" i="11"/>
  <c r="L313" i="11" s="1"/>
  <c r="N313" i="11" s="1"/>
  <c r="J312" i="11"/>
  <c r="H312" i="11"/>
  <c r="J311" i="11"/>
  <c r="H311" i="11"/>
  <c r="J310" i="11"/>
  <c r="H310" i="11"/>
  <c r="H309" i="11"/>
  <c r="J308" i="11"/>
  <c r="H308" i="11"/>
  <c r="H307" i="11"/>
  <c r="J306" i="11"/>
  <c r="H306" i="11"/>
  <c r="J305" i="11"/>
  <c r="H305" i="11"/>
  <c r="J304" i="11"/>
  <c r="H304" i="11"/>
  <c r="J303" i="11"/>
  <c r="H303" i="11"/>
  <c r="L301" i="11"/>
  <c r="N301" i="11" s="1"/>
  <c r="J300" i="11"/>
  <c r="G300" i="11"/>
  <c r="H300" i="11" s="1"/>
  <c r="L300" i="11" s="1"/>
  <c r="N300" i="11" s="1"/>
  <c r="H299" i="11"/>
  <c r="L299" i="11" s="1"/>
  <c r="N299" i="11" s="1"/>
  <c r="N298" i="11"/>
  <c r="L298" i="11"/>
  <c r="H298" i="11"/>
  <c r="L297" i="11"/>
  <c r="N297" i="11" s="1"/>
  <c r="H297" i="11"/>
  <c r="L295" i="11"/>
  <c r="N295" i="11" s="1"/>
  <c r="J291" i="11"/>
  <c r="L291" i="11" s="1"/>
  <c r="N291" i="11" s="1"/>
  <c r="H291" i="11"/>
  <c r="J290" i="11"/>
  <c r="G290" i="11"/>
  <c r="H290" i="11" s="1"/>
  <c r="L290" i="11" s="1"/>
  <c r="N290" i="11" s="1"/>
  <c r="J289" i="11"/>
  <c r="H289" i="11"/>
  <c r="L289" i="11" s="1"/>
  <c r="N289" i="11" s="1"/>
  <c r="J288" i="11"/>
  <c r="H288" i="11"/>
  <c r="L288" i="11" s="1"/>
  <c r="N288" i="11" s="1"/>
  <c r="J287" i="11"/>
  <c r="H287" i="11"/>
  <c r="L287" i="11" s="1"/>
  <c r="N287" i="11" s="1"/>
  <c r="J285" i="11"/>
  <c r="H285" i="11"/>
  <c r="H281" i="11"/>
  <c r="J280" i="11"/>
  <c r="G280" i="11"/>
  <c r="H280" i="11" s="1"/>
  <c r="L280" i="11" s="1"/>
  <c r="L279" i="11"/>
  <c r="J279" i="11"/>
  <c r="H279" i="11"/>
  <c r="L278" i="11"/>
  <c r="J278" i="11"/>
  <c r="H278" i="11"/>
  <c r="J277" i="11"/>
  <c r="H277" i="11"/>
  <c r="L277" i="11" s="1"/>
  <c r="H275" i="11"/>
  <c r="H270" i="11"/>
  <c r="L269" i="11"/>
  <c r="N269" i="11" s="1"/>
  <c r="J268" i="11"/>
  <c r="J267" i="11"/>
  <c r="L267" i="11" s="1"/>
  <c r="N267" i="11" s="1"/>
  <c r="H267" i="11"/>
  <c r="H268" i="11" s="1"/>
  <c r="H266" i="11"/>
  <c r="E265" i="11"/>
  <c r="H265" i="11" s="1"/>
  <c r="J264" i="11"/>
  <c r="H264" i="11"/>
  <c r="E264" i="11"/>
  <c r="J263" i="11"/>
  <c r="E263" i="11"/>
  <c r="H263" i="11" s="1"/>
  <c r="J262" i="11"/>
  <c r="L262" i="11" s="1"/>
  <c r="N262" i="11" s="1"/>
  <c r="H262" i="11"/>
  <c r="J261" i="11"/>
  <c r="L261" i="11" s="1"/>
  <c r="N261" i="11" s="1"/>
  <c r="H261" i="11"/>
  <c r="H260" i="11"/>
  <c r="H259" i="11"/>
  <c r="J258" i="11"/>
  <c r="L258" i="11" s="1"/>
  <c r="N258" i="11" s="1"/>
  <c r="H258" i="11"/>
  <c r="J257" i="11"/>
  <c r="L257" i="11" s="1"/>
  <c r="N257" i="11" s="1"/>
  <c r="H257" i="11"/>
  <c r="H256" i="11"/>
  <c r="N253" i="11"/>
  <c r="L253" i="11"/>
  <c r="N252" i="11"/>
  <c r="L252" i="11"/>
  <c r="N251" i="11"/>
  <c r="L251" i="11"/>
  <c r="H250" i="11"/>
  <c r="N249" i="11"/>
  <c r="L249" i="11"/>
  <c r="J248" i="11"/>
  <c r="J247" i="11"/>
  <c r="H246" i="11"/>
  <c r="H245" i="11"/>
  <c r="H244" i="11"/>
  <c r="H243" i="11"/>
  <c r="H247" i="11" s="1"/>
  <c r="J239" i="11"/>
  <c r="H239" i="11"/>
  <c r="H238" i="11"/>
  <c r="J237" i="11"/>
  <c r="H237" i="11"/>
  <c r="H236" i="11"/>
  <c r="N235" i="11"/>
  <c r="L235" i="11"/>
  <c r="N234" i="11"/>
  <c r="L234" i="11"/>
  <c r="L233" i="11"/>
  <c r="J229" i="11"/>
  <c r="H229" i="11"/>
  <c r="J228" i="11"/>
  <c r="H228" i="11"/>
  <c r="J227" i="11"/>
  <c r="H227" i="11"/>
  <c r="H226" i="11"/>
  <c r="J225" i="11"/>
  <c r="H225" i="11"/>
  <c r="J224" i="11"/>
  <c r="H224" i="11"/>
  <c r="L221" i="11"/>
  <c r="N221" i="11" s="1"/>
  <c r="J220" i="11"/>
  <c r="L220" i="11" s="1"/>
  <c r="N220" i="11" s="1"/>
  <c r="J219" i="11"/>
  <c r="L219" i="11" s="1"/>
  <c r="N219" i="11" s="1"/>
  <c r="H219" i="11"/>
  <c r="H218" i="11"/>
  <c r="J217" i="11"/>
  <c r="L217" i="11" s="1"/>
  <c r="N217" i="11" s="1"/>
  <c r="H217" i="11"/>
  <c r="H216" i="11"/>
  <c r="L215" i="11"/>
  <c r="N215" i="11" s="1"/>
  <c r="J214" i="11"/>
  <c r="H214" i="11"/>
  <c r="J213" i="11"/>
  <c r="L213" i="11" s="1"/>
  <c r="H213" i="11"/>
  <c r="L210" i="11"/>
  <c r="N210" i="11" s="1"/>
  <c r="J209" i="11"/>
  <c r="H209" i="11"/>
  <c r="J208" i="11"/>
  <c r="H208" i="11"/>
  <c r="L207" i="11"/>
  <c r="N207" i="11" s="1"/>
  <c r="J206" i="11"/>
  <c r="L206" i="11" s="1"/>
  <c r="N206" i="11" s="1"/>
  <c r="H206" i="11"/>
  <c r="J205" i="11"/>
  <c r="L205" i="11" s="1"/>
  <c r="N205" i="11" s="1"/>
  <c r="H205" i="11"/>
  <c r="J204" i="11"/>
  <c r="L204" i="11" s="1"/>
  <c r="N204" i="11" s="1"/>
  <c r="H204" i="11"/>
  <c r="J203" i="11"/>
  <c r="L203" i="11" s="1"/>
  <c r="N203" i="11" s="1"/>
  <c r="H203" i="11"/>
  <c r="H202" i="11"/>
  <c r="F199" i="11"/>
  <c r="H199" i="11" s="1"/>
  <c r="F198" i="11"/>
  <c r="H198" i="11" s="1"/>
  <c r="H197" i="11"/>
  <c r="F197" i="11"/>
  <c r="F196" i="11"/>
  <c r="H196" i="11" s="1"/>
  <c r="L195" i="11"/>
  <c r="N195" i="11" s="1"/>
  <c r="L194" i="11"/>
  <c r="N194" i="11" s="1"/>
  <c r="L193" i="11"/>
  <c r="N193" i="11" s="1"/>
  <c r="L192" i="11"/>
  <c r="J188" i="11"/>
  <c r="J186" i="11"/>
  <c r="J184" i="11"/>
  <c r="J182" i="11"/>
  <c r="J180" i="11"/>
  <c r="E180" i="11"/>
  <c r="E181" i="11" s="1"/>
  <c r="J179" i="11"/>
  <c r="L179" i="11" s="1"/>
  <c r="N179" i="11" s="1"/>
  <c r="E176" i="11"/>
  <c r="E175" i="11"/>
  <c r="J174" i="11"/>
  <c r="H174" i="11"/>
  <c r="E174" i="11"/>
  <c r="H173" i="11"/>
  <c r="E173" i="11"/>
  <c r="J172" i="11"/>
  <c r="L172" i="11" s="1"/>
  <c r="N172" i="11" s="1"/>
  <c r="H172" i="11"/>
  <c r="E172" i="11"/>
  <c r="H171" i="11"/>
  <c r="E171" i="11"/>
  <c r="L170" i="11"/>
  <c r="N170" i="11" s="1"/>
  <c r="H170" i="11"/>
  <c r="E170" i="11"/>
  <c r="J169" i="11"/>
  <c r="H169" i="11"/>
  <c r="E169" i="11"/>
  <c r="J168" i="11"/>
  <c r="L168" i="11" s="1"/>
  <c r="N168" i="11" s="1"/>
  <c r="H168" i="11"/>
  <c r="E168" i="11"/>
  <c r="L165" i="11"/>
  <c r="N165" i="11" s="1"/>
  <c r="J164" i="11"/>
  <c r="L164" i="11" s="1"/>
  <c r="N164" i="11" s="1"/>
  <c r="H164" i="11"/>
  <c r="J163" i="11"/>
  <c r="L163" i="11" s="1"/>
  <c r="N163" i="11" s="1"/>
  <c r="H163" i="11"/>
  <c r="E163" i="11"/>
  <c r="E164" i="11" s="1"/>
  <c r="E165" i="11" s="1"/>
  <c r="J162" i="11"/>
  <c r="L162" i="11" s="1"/>
  <c r="N162" i="11" s="1"/>
  <c r="J159" i="11"/>
  <c r="H159" i="11"/>
  <c r="J158" i="11"/>
  <c r="H158" i="11"/>
  <c r="J157" i="11"/>
  <c r="H157" i="11"/>
  <c r="J156" i="11"/>
  <c r="H156" i="11"/>
  <c r="H155" i="11"/>
  <c r="J154" i="11"/>
  <c r="H154" i="11"/>
  <c r="J153" i="11"/>
  <c r="H153" i="11"/>
  <c r="H152" i="11"/>
  <c r="N147" i="11"/>
  <c r="L147" i="11"/>
  <c r="L144" i="11"/>
  <c r="N144" i="11" s="1"/>
  <c r="H143" i="11"/>
  <c r="J142" i="11"/>
  <c r="L142" i="11" s="1"/>
  <c r="N142" i="11" s="1"/>
  <c r="H142" i="11"/>
  <c r="H139" i="11"/>
  <c r="J138" i="11"/>
  <c r="L138" i="11" s="1"/>
  <c r="N138" i="11" s="1"/>
  <c r="H138" i="11"/>
  <c r="H137" i="11"/>
  <c r="N136" i="11"/>
  <c r="L136" i="11"/>
  <c r="N135" i="11"/>
  <c r="L135" i="11"/>
  <c r="N134" i="11"/>
  <c r="L134" i="11"/>
  <c r="N133" i="11"/>
  <c r="L133" i="11"/>
  <c r="N132" i="11"/>
  <c r="L132" i="11"/>
  <c r="N129" i="11"/>
  <c r="J128" i="11"/>
  <c r="J126" i="11"/>
  <c r="J124" i="11"/>
  <c r="J123" i="11"/>
  <c r="J122" i="11"/>
  <c r="E122" i="11"/>
  <c r="H121" i="11"/>
  <c r="L118" i="11"/>
  <c r="N118" i="11" s="1"/>
  <c r="H118" i="11"/>
  <c r="J117" i="11"/>
  <c r="H117" i="11"/>
  <c r="H116" i="11"/>
  <c r="J115" i="11"/>
  <c r="H115" i="11"/>
  <c r="H114" i="11"/>
  <c r="J113" i="11"/>
  <c r="H113" i="11"/>
  <c r="H110" i="11"/>
  <c r="H109" i="11"/>
  <c r="D109" i="11"/>
  <c r="J106" i="11"/>
  <c r="L106" i="11" s="1"/>
  <c r="N106" i="11" s="1"/>
  <c r="H106" i="11"/>
  <c r="J105" i="11"/>
  <c r="L105" i="11" s="1"/>
  <c r="N105" i="11" s="1"/>
  <c r="H105" i="11"/>
  <c r="H102" i="11"/>
  <c r="H101" i="11"/>
  <c r="J98" i="11"/>
  <c r="L98" i="11" s="1"/>
  <c r="N98" i="11" s="1"/>
  <c r="H98" i="11"/>
  <c r="J97" i="11"/>
  <c r="L97" i="11" s="1"/>
  <c r="N97" i="11" s="1"/>
  <c r="H97" i="11"/>
  <c r="H95" i="11"/>
  <c r="L95" i="11" s="1"/>
  <c r="N95" i="11" s="1"/>
  <c r="H94" i="11"/>
  <c r="L94" i="11" s="1"/>
  <c r="N94" i="11" s="1"/>
  <c r="H93" i="11"/>
  <c r="L93" i="11" s="1"/>
  <c r="N93" i="11" s="1"/>
  <c r="L92" i="11"/>
  <c r="N92" i="11" s="1"/>
  <c r="H92" i="11"/>
  <c r="N90" i="11"/>
  <c r="N89" i="11"/>
  <c r="N88" i="11"/>
  <c r="N87" i="11"/>
  <c r="J85" i="11"/>
  <c r="L85" i="11" s="1"/>
  <c r="N85" i="11" s="1"/>
  <c r="J84" i="11"/>
  <c r="L84" i="11" s="1"/>
  <c r="N84" i="11" s="1"/>
  <c r="J83" i="11"/>
  <c r="L83" i="11" s="1"/>
  <c r="N83" i="11" s="1"/>
  <c r="J82" i="11"/>
  <c r="L82" i="11" s="1"/>
  <c r="N82" i="11" s="1"/>
  <c r="J80" i="11"/>
  <c r="L80" i="11" s="1"/>
  <c r="N80" i="11" s="1"/>
  <c r="H80" i="11"/>
  <c r="J79" i="11"/>
  <c r="L79" i="11" s="1"/>
  <c r="N79" i="11" s="1"/>
  <c r="H79" i="11"/>
  <c r="J78" i="11"/>
  <c r="L78" i="11" s="1"/>
  <c r="N78" i="11" s="1"/>
  <c r="H78" i="11"/>
  <c r="J77" i="11"/>
  <c r="L77" i="11" s="1"/>
  <c r="N77" i="11" s="1"/>
  <c r="H77" i="11"/>
  <c r="H75" i="11"/>
  <c r="H74" i="11"/>
  <c r="H73" i="11"/>
  <c r="H72" i="11"/>
  <c r="J70" i="11"/>
  <c r="L70" i="11" s="1"/>
  <c r="N70" i="11" s="1"/>
  <c r="H70" i="11"/>
  <c r="J69" i="11"/>
  <c r="L69" i="11" s="1"/>
  <c r="N69" i="11" s="1"/>
  <c r="H69" i="11"/>
  <c r="J68" i="11"/>
  <c r="L68" i="11" s="1"/>
  <c r="N68" i="11" s="1"/>
  <c r="H68" i="11"/>
  <c r="J67" i="11"/>
  <c r="L67" i="11" s="1"/>
  <c r="N67" i="11" s="1"/>
  <c r="H67" i="11"/>
  <c r="H65" i="11"/>
  <c r="H64" i="11"/>
  <c r="H63" i="11"/>
  <c r="H62" i="11"/>
  <c r="L60" i="11"/>
  <c r="N60" i="11" s="1"/>
  <c r="N59" i="11"/>
  <c r="L59" i="11"/>
  <c r="L58" i="11"/>
  <c r="N58" i="11" s="1"/>
  <c r="N57" i="11"/>
  <c r="L57" i="11"/>
  <c r="H55" i="11"/>
  <c r="L55" i="11" s="1"/>
  <c r="N55" i="11" s="1"/>
  <c r="H54" i="11"/>
  <c r="L54" i="11" s="1"/>
  <c r="N54" i="11" s="1"/>
  <c r="H53" i="11"/>
  <c r="L53" i="11" s="1"/>
  <c r="N53" i="11" s="1"/>
  <c r="L52" i="11"/>
  <c r="N52" i="11" s="1"/>
  <c r="H52" i="11"/>
  <c r="J50" i="11"/>
  <c r="L50" i="11" s="1"/>
  <c r="N50" i="11" s="1"/>
  <c r="H50" i="11"/>
  <c r="J49" i="11"/>
  <c r="L49" i="11" s="1"/>
  <c r="N49" i="11" s="1"/>
  <c r="H49" i="11"/>
  <c r="J48" i="11"/>
  <c r="L48" i="11" s="1"/>
  <c r="N48" i="11" s="1"/>
  <c r="H48" i="11"/>
  <c r="J47" i="11"/>
  <c r="L47" i="11" s="1"/>
  <c r="N47" i="11" s="1"/>
  <c r="H47" i="11"/>
  <c r="L45" i="11"/>
  <c r="N45" i="11" s="1"/>
  <c r="N44" i="11"/>
  <c r="L44" i="11"/>
  <c r="L43" i="11"/>
  <c r="N43" i="11" s="1"/>
  <c r="N42" i="11"/>
  <c r="L42" i="11"/>
  <c r="J40" i="11"/>
  <c r="L40" i="11" s="1"/>
  <c r="N40" i="11" s="1"/>
  <c r="H40" i="11"/>
  <c r="J39" i="11"/>
  <c r="L39" i="11" s="1"/>
  <c r="N39" i="11" s="1"/>
  <c r="H39" i="11"/>
  <c r="J38" i="11"/>
  <c r="L38" i="11" s="1"/>
  <c r="N38" i="11" s="1"/>
  <c r="H38" i="11"/>
  <c r="J37" i="11"/>
  <c r="L37" i="11" s="1"/>
  <c r="N37" i="11" s="1"/>
  <c r="H37" i="11"/>
  <c r="J35" i="11"/>
  <c r="L35" i="11" s="1"/>
  <c r="N35" i="11" s="1"/>
  <c r="H35" i="11"/>
  <c r="J34" i="11"/>
  <c r="L34" i="11" s="1"/>
  <c r="N34" i="11" s="1"/>
  <c r="H34" i="11"/>
  <c r="J33" i="11"/>
  <c r="L33" i="11" s="1"/>
  <c r="N33" i="11" s="1"/>
  <c r="H33" i="11"/>
  <c r="J32" i="11"/>
  <c r="L32" i="11" s="1"/>
  <c r="N32" i="11" s="1"/>
  <c r="H32" i="11"/>
  <c r="J30" i="11"/>
  <c r="L30" i="11" s="1"/>
  <c r="N30" i="11" s="1"/>
  <c r="H30" i="11"/>
  <c r="J29" i="11"/>
  <c r="L29" i="11" s="1"/>
  <c r="N29" i="11" s="1"/>
  <c r="H29" i="11"/>
  <c r="J28" i="11"/>
  <c r="L28" i="11" s="1"/>
  <c r="N28" i="11" s="1"/>
  <c r="H28" i="11"/>
  <c r="J27" i="11"/>
  <c r="L27" i="11" s="1"/>
  <c r="N27" i="11" s="1"/>
  <c r="H27" i="11"/>
  <c r="J25" i="11"/>
  <c r="L25" i="11" s="1"/>
  <c r="N25" i="11" s="1"/>
  <c r="J24" i="11"/>
  <c r="L24" i="11" s="1"/>
  <c r="N24" i="11" s="1"/>
  <c r="J23" i="11"/>
  <c r="L23" i="11" s="1"/>
  <c r="N23" i="11" s="1"/>
  <c r="J22" i="11"/>
  <c r="L22" i="11" s="1"/>
  <c r="N22" i="11" s="1"/>
  <c r="J20" i="11"/>
  <c r="L20" i="11" s="1"/>
  <c r="N20" i="11" s="1"/>
  <c r="H20" i="11"/>
  <c r="J19" i="11"/>
  <c r="L19" i="11" s="1"/>
  <c r="N19" i="11" s="1"/>
  <c r="H19" i="11"/>
  <c r="J18" i="11"/>
  <c r="L18" i="11" s="1"/>
  <c r="N18" i="11" s="1"/>
  <c r="H18" i="11"/>
  <c r="J16" i="11"/>
  <c r="L16" i="11" s="1"/>
  <c r="N16" i="11" s="1"/>
  <c r="H16" i="11"/>
  <c r="J15" i="11"/>
  <c r="L15" i="11" s="1"/>
  <c r="N15" i="11" s="1"/>
  <c r="H15" i="11"/>
  <c r="J14" i="11"/>
  <c r="L14" i="11" s="1"/>
  <c r="N14" i="11" s="1"/>
  <c r="H14" i="11"/>
  <c r="J12" i="11"/>
  <c r="L12" i="11" s="1"/>
  <c r="N12" i="11" s="1"/>
  <c r="H12" i="11"/>
  <c r="J11" i="11"/>
  <c r="L11" i="11" s="1"/>
  <c r="N11" i="11" s="1"/>
  <c r="H11" i="11"/>
  <c r="J10" i="11"/>
  <c r="L10" i="11" s="1"/>
  <c r="N10" i="11" s="1"/>
  <c r="H10" i="11"/>
  <c r="J8" i="11"/>
  <c r="H8" i="11"/>
  <c r="J7" i="11"/>
  <c r="H7" i="11"/>
  <c r="J6" i="11"/>
  <c r="H6" i="11"/>
  <c r="H4" i="11"/>
  <c r="H3" i="11"/>
  <c r="H2" i="11"/>
  <c r="V54" i="6"/>
  <c r="U54" i="6"/>
  <c r="T54" i="6"/>
  <c r="O54" i="6"/>
  <c r="G54" i="6"/>
  <c r="V53" i="6"/>
  <c r="U53" i="6"/>
  <c r="T53" i="6"/>
  <c r="O53" i="6"/>
  <c r="G53" i="6"/>
  <c r="V52" i="6"/>
  <c r="U52" i="6"/>
  <c r="T52" i="6"/>
  <c r="O52" i="6"/>
  <c r="G52" i="6"/>
  <c r="V51" i="6"/>
  <c r="U51" i="6"/>
  <c r="T51" i="6"/>
  <c r="O51" i="6"/>
  <c r="G51" i="6"/>
  <c r="V50" i="6"/>
  <c r="U50" i="6"/>
  <c r="T50" i="6"/>
  <c r="O50" i="6"/>
  <c r="G50" i="6"/>
  <c r="V49" i="6"/>
  <c r="U49" i="6"/>
  <c r="T49" i="6"/>
  <c r="O49" i="6"/>
  <c r="G49" i="6"/>
  <c r="V48" i="6"/>
  <c r="U48" i="6"/>
  <c r="T48" i="6"/>
  <c r="O48" i="6"/>
  <c r="G48" i="6"/>
  <c r="V47" i="6"/>
  <c r="U47" i="6"/>
  <c r="T47" i="6"/>
  <c r="O47" i="6"/>
  <c r="G47" i="6"/>
  <c r="G41" i="6"/>
  <c r="E41" i="6"/>
  <c r="G40" i="6"/>
  <c r="E40" i="6"/>
  <c r="G39" i="6"/>
  <c r="E39" i="6"/>
  <c r="G38" i="6"/>
  <c r="E38" i="6"/>
  <c r="G37" i="6"/>
  <c r="E37" i="6"/>
  <c r="G36" i="6"/>
  <c r="E36" i="6"/>
  <c r="G35" i="6"/>
  <c r="E35" i="6"/>
  <c r="G34" i="6"/>
  <c r="E34" i="6"/>
  <c r="V33" i="6"/>
  <c r="G33" i="6"/>
  <c r="E33" i="6"/>
  <c r="G32" i="6"/>
  <c r="E32" i="6"/>
  <c r="G31" i="6"/>
  <c r="E31" i="6"/>
  <c r="X19" i="6"/>
  <c r="W19" i="6"/>
  <c r="T19" i="6"/>
  <c r="R19" i="6"/>
  <c r="M19" i="6"/>
  <c r="C19" i="6"/>
  <c r="Q578" i="24" s="1"/>
  <c r="X18" i="6"/>
  <c r="W18" i="6"/>
  <c r="T18" i="6"/>
  <c r="R18" i="6"/>
  <c r="M18" i="6"/>
  <c r="C18" i="6"/>
  <c r="X17" i="6"/>
  <c r="W17" i="6"/>
  <c r="T17" i="6"/>
  <c r="R17" i="6"/>
  <c r="M17" i="6"/>
  <c r="C17" i="6"/>
  <c r="X16" i="6"/>
  <c r="Q1220" i="24" s="1"/>
  <c r="W16" i="6"/>
  <c r="T16" i="6"/>
  <c r="R16" i="6"/>
  <c r="M16" i="6"/>
  <c r="C16" i="6"/>
  <c r="X15" i="6"/>
  <c r="W15" i="6"/>
  <c r="T15" i="6"/>
  <c r="R15" i="6"/>
  <c r="M15" i="6"/>
  <c r="C15" i="6"/>
  <c r="X14" i="6"/>
  <c r="W14" i="6"/>
  <c r="T14" i="6"/>
  <c r="R14" i="6"/>
  <c r="M14" i="6"/>
  <c r="C14" i="6"/>
  <c r="X13" i="6"/>
  <c r="Q493" i="24" s="1"/>
  <c r="W13" i="6"/>
  <c r="T13" i="6"/>
  <c r="R13" i="6"/>
  <c r="M13" i="6"/>
  <c r="C13" i="6"/>
  <c r="Q657" i="24" s="1"/>
  <c r="X12" i="6"/>
  <c r="W12" i="6"/>
  <c r="T12" i="6"/>
  <c r="R12" i="6"/>
  <c r="M12" i="6"/>
  <c r="C12" i="6"/>
  <c r="X11" i="6"/>
  <c r="Q1200" i="24" s="1"/>
  <c r="S1200" i="24" s="1"/>
  <c r="U1200" i="24" s="1"/>
  <c r="W11" i="6"/>
  <c r="T11" i="6"/>
  <c r="R11" i="6"/>
  <c r="M11" i="6"/>
  <c r="C11" i="6"/>
  <c r="X10" i="6"/>
  <c r="Q1114" i="24" s="1"/>
  <c r="W10" i="6"/>
  <c r="O761" i="15" s="1"/>
  <c r="Q761" i="15" s="1"/>
  <c r="S761" i="15" s="1"/>
  <c r="T10" i="6"/>
  <c r="R10" i="6"/>
  <c r="Q1097" i="24" s="1"/>
  <c r="M10" i="6"/>
  <c r="J102" i="11" s="1"/>
  <c r="L102" i="11" s="1"/>
  <c r="N102" i="11" s="1"/>
  <c r="C10" i="6"/>
  <c r="Q1131" i="24" s="1"/>
  <c r="X9" i="6"/>
  <c r="W9" i="6"/>
  <c r="Q1222" i="24" s="1"/>
  <c r="T9" i="6"/>
  <c r="R9" i="6"/>
  <c r="M9" i="6"/>
  <c r="C9" i="6"/>
  <c r="Q227" i="24" s="1"/>
  <c r="X8" i="6"/>
  <c r="W8" i="6"/>
  <c r="T8" i="6"/>
  <c r="R8" i="6"/>
  <c r="Q1109" i="24" s="1"/>
  <c r="M8" i="6"/>
  <c r="C8" i="6"/>
  <c r="X7" i="6"/>
  <c r="W7" i="6"/>
  <c r="Q498" i="24" s="1"/>
  <c r="T7" i="6"/>
  <c r="R7" i="6"/>
  <c r="Q1171" i="24" s="1"/>
  <c r="M7" i="6"/>
  <c r="J114" i="11" s="1"/>
  <c r="C7" i="6"/>
  <c r="Q419" i="24" s="1"/>
  <c r="X6" i="6"/>
  <c r="W6" i="6"/>
  <c r="T6" i="6"/>
  <c r="R6" i="6"/>
  <c r="Q1195" i="24" s="1"/>
  <c r="M6" i="6"/>
  <c r="C6" i="6"/>
  <c r="X5" i="6"/>
  <c r="W5" i="6"/>
  <c r="T5" i="6"/>
  <c r="R5" i="6"/>
  <c r="Q1066" i="24" s="1"/>
  <c r="M5" i="6"/>
  <c r="C5" i="6"/>
  <c r="Q844" i="24" s="1"/>
  <c r="X4" i="6"/>
  <c r="W4" i="6"/>
  <c r="T4" i="6"/>
  <c r="R4" i="6"/>
  <c r="Q1077" i="24" s="1"/>
  <c r="M4" i="6"/>
  <c r="Q436" i="24" s="1"/>
  <c r="C4" i="6"/>
  <c r="S1289" i="15"/>
  <c r="Q1289" i="15"/>
  <c r="S1288" i="15"/>
  <c r="Q1288" i="15"/>
  <c r="S1287" i="15"/>
  <c r="Q1287" i="15"/>
  <c r="Q1285" i="15"/>
  <c r="S1285" i="15" s="1"/>
  <c r="S1283" i="15"/>
  <c r="Q1283" i="15"/>
  <c r="S1282" i="15"/>
  <c r="Q1282" i="15"/>
  <c r="S1281" i="15"/>
  <c r="Q1281" i="15"/>
  <c r="S1280" i="15"/>
  <c r="Q1280" i="15"/>
  <c r="S1279" i="15"/>
  <c r="Q1279" i="15"/>
  <c r="Q1277" i="15"/>
  <c r="S1277" i="15" s="1"/>
  <c r="Q1276" i="15"/>
  <c r="S1276" i="15" s="1"/>
  <c r="Q1275" i="15"/>
  <c r="S1275" i="15" s="1"/>
  <c r="Q1274" i="15"/>
  <c r="S1274" i="15" s="1"/>
  <c r="Q1273" i="15"/>
  <c r="S1273" i="15" s="1"/>
  <c r="Q1272" i="15"/>
  <c r="S1272" i="15" s="1"/>
  <c r="S1270" i="15"/>
  <c r="Q1270" i="15"/>
  <c r="S1269" i="15"/>
  <c r="Q1269" i="15"/>
  <c r="J1269" i="15"/>
  <c r="J1270" i="15" s="1"/>
  <c r="Q1268" i="15"/>
  <c r="S1268" i="15" s="1"/>
  <c r="Q1267" i="15"/>
  <c r="S1267" i="15" s="1"/>
  <c r="S1265" i="15"/>
  <c r="Q1265" i="15"/>
  <c r="O1264" i="15"/>
  <c r="M1264" i="15"/>
  <c r="Q1264" i="15" s="1"/>
  <c r="S1264" i="15" s="1"/>
  <c r="Q1263" i="15"/>
  <c r="S1263" i="15" s="1"/>
  <c r="Q1262" i="15"/>
  <c r="S1262" i="15" s="1"/>
  <c r="O1262" i="15"/>
  <c r="M1262" i="15"/>
  <c r="S1260" i="15"/>
  <c r="Q1260" i="15"/>
  <c r="S1259" i="15"/>
  <c r="Q1259" i="15"/>
  <c r="O1259" i="15"/>
  <c r="M1259" i="15"/>
  <c r="Q1258" i="15"/>
  <c r="S1258" i="15" s="1"/>
  <c r="O1257" i="15"/>
  <c r="M1257" i="15"/>
  <c r="Q1257" i="15" s="1"/>
  <c r="S1257" i="15" s="1"/>
  <c r="Q1255" i="15"/>
  <c r="S1255" i="15" s="1"/>
  <c r="Q1254" i="15"/>
  <c r="S1254" i="15" s="1"/>
  <c r="Q1253" i="15"/>
  <c r="S1253" i="15" s="1"/>
  <c r="O1251" i="15"/>
  <c r="M1251" i="15"/>
  <c r="Q1251" i="15" s="1"/>
  <c r="S1251" i="15" s="1"/>
  <c r="O1250" i="15"/>
  <c r="M1250" i="15"/>
  <c r="Q1250" i="15" s="1"/>
  <c r="S1250" i="15" s="1"/>
  <c r="O1249" i="15"/>
  <c r="M1249" i="15"/>
  <c r="Q1249" i="15" s="1"/>
  <c r="S1249" i="15" s="1"/>
  <c r="O1248" i="15"/>
  <c r="M1248" i="15"/>
  <c r="Q1248" i="15" s="1"/>
  <c r="S1248" i="15" s="1"/>
  <c r="O1246" i="15"/>
  <c r="Q1246" i="15" s="1"/>
  <c r="S1246" i="15" s="1"/>
  <c r="Q1245" i="15"/>
  <c r="S1245" i="15" s="1"/>
  <c r="Q1244" i="15"/>
  <c r="S1244" i="15" s="1"/>
  <c r="O1242" i="15"/>
  <c r="J1242" i="15"/>
  <c r="M1242" i="15" s="1"/>
  <c r="Q1241" i="15"/>
  <c r="S1241" i="15" s="1"/>
  <c r="M1241" i="15"/>
  <c r="S1240" i="15"/>
  <c r="Q1240" i="15"/>
  <c r="Q1238" i="15"/>
  <c r="S1238" i="15" s="1"/>
  <c r="O1238" i="15"/>
  <c r="M1238" i="15"/>
  <c r="J1238" i="15"/>
  <c r="M1237" i="15"/>
  <c r="Q1237" i="15" s="1"/>
  <c r="S1237" i="15" s="1"/>
  <c r="Q1236" i="15"/>
  <c r="S1236" i="15" s="1"/>
  <c r="O1236" i="15"/>
  <c r="M1236" i="15"/>
  <c r="S1234" i="15"/>
  <c r="Q1234" i="15"/>
  <c r="S1233" i="15"/>
  <c r="Q1233" i="15"/>
  <c r="S1230" i="15"/>
  <c r="Q1230" i="15"/>
  <c r="Q1229" i="15"/>
  <c r="S1229" i="15" s="1"/>
  <c r="S1228" i="15"/>
  <c r="Q1228" i="15"/>
  <c r="Q1227" i="15"/>
  <c r="S1227" i="15" s="1"/>
  <c r="S1226" i="15"/>
  <c r="Q1226" i="15"/>
  <c r="S1224" i="15"/>
  <c r="Q1224" i="15"/>
  <c r="J1224" i="15"/>
  <c r="Q1223" i="15"/>
  <c r="S1223" i="15" s="1"/>
  <c r="J1223" i="15"/>
  <c r="O1222" i="15"/>
  <c r="M1222" i="15"/>
  <c r="S1221" i="15"/>
  <c r="Q1221" i="15"/>
  <c r="O1220" i="15"/>
  <c r="I1218" i="15"/>
  <c r="O1218" i="15" s="1"/>
  <c r="O1216" i="15"/>
  <c r="J1214" i="15"/>
  <c r="J1216" i="15" s="1"/>
  <c r="Q1213" i="15"/>
  <c r="S1213" i="15" s="1"/>
  <c r="J1213" i="15"/>
  <c r="Q1211" i="15"/>
  <c r="S1211" i="15" s="1"/>
  <c r="J1211" i="15"/>
  <c r="Q1210" i="15"/>
  <c r="S1210" i="15" s="1"/>
  <c r="J1210" i="15"/>
  <c r="M1208" i="15"/>
  <c r="I1208" i="15"/>
  <c r="I1210" i="15" s="1"/>
  <c r="O1207" i="15"/>
  <c r="M1207" i="15"/>
  <c r="Q1206" i="15"/>
  <c r="S1206" i="15" s="1"/>
  <c r="O1205" i="15"/>
  <c r="M1205" i="15"/>
  <c r="Q1204" i="15"/>
  <c r="S1204" i="15" s="1"/>
  <c r="Q1201" i="15"/>
  <c r="S1201" i="15" s="1"/>
  <c r="Q1196" i="15"/>
  <c r="S1196" i="15" s="1"/>
  <c r="J1196" i="15"/>
  <c r="J1197" i="15" s="1"/>
  <c r="M1195" i="15"/>
  <c r="J1195" i="15"/>
  <c r="M1194" i="15"/>
  <c r="Q1193" i="15"/>
  <c r="S1193" i="15" s="1"/>
  <c r="S1191" i="15"/>
  <c r="Q1191" i="15"/>
  <c r="J1191" i="15"/>
  <c r="J1201" i="15" s="1"/>
  <c r="Q1190" i="15"/>
  <c r="S1190" i="15" s="1"/>
  <c r="J1188" i="15"/>
  <c r="J1190" i="15" s="1"/>
  <c r="O1187" i="15"/>
  <c r="Q1187" i="15" s="1"/>
  <c r="S1187" i="15" s="1"/>
  <c r="Q1185" i="15"/>
  <c r="S1185" i="15" s="1"/>
  <c r="Q1184" i="15"/>
  <c r="S1184" i="15" s="1"/>
  <c r="S1182" i="15"/>
  <c r="Q1182" i="15"/>
  <c r="S1181" i="15"/>
  <c r="Q1181" i="15"/>
  <c r="Q1179" i="15"/>
  <c r="S1179" i="15" s="1"/>
  <c r="S1178" i="15"/>
  <c r="Q1178" i="15"/>
  <c r="S1176" i="15"/>
  <c r="Q1176" i="15"/>
  <c r="L1176" i="15"/>
  <c r="K1176" i="15"/>
  <c r="I1176" i="15"/>
  <c r="O1174" i="15"/>
  <c r="O1172" i="15"/>
  <c r="Q1170" i="15"/>
  <c r="S1170" i="15" s="1"/>
  <c r="O1166" i="15"/>
  <c r="O1165" i="15"/>
  <c r="O1163" i="15"/>
  <c r="O1162" i="15"/>
  <c r="O1161" i="15"/>
  <c r="Q1159" i="15"/>
  <c r="S1159" i="15" s="1"/>
  <c r="O1156" i="15"/>
  <c r="O1155" i="15"/>
  <c r="Q1153" i="15"/>
  <c r="S1153" i="15" s="1"/>
  <c r="M1153" i="15"/>
  <c r="L1153" i="15"/>
  <c r="K1153" i="15"/>
  <c r="I1153" i="15"/>
  <c r="Q1151" i="15"/>
  <c r="S1151" i="15" s="1"/>
  <c r="O1150" i="15"/>
  <c r="O1149" i="15"/>
  <c r="O1148" i="15"/>
  <c r="O1147" i="15"/>
  <c r="Q1146" i="15"/>
  <c r="S1146" i="15" s="1"/>
  <c r="Q1141" i="15"/>
  <c r="S1141" i="15" s="1"/>
  <c r="J1139" i="15"/>
  <c r="M1139" i="15" s="1"/>
  <c r="Q1138" i="15"/>
  <c r="S1138" i="15" s="1"/>
  <c r="I1138" i="15"/>
  <c r="I1139" i="15" s="1"/>
  <c r="O1136" i="15"/>
  <c r="O1135" i="15"/>
  <c r="O1134" i="15"/>
  <c r="O1133" i="15"/>
  <c r="J1133" i="15"/>
  <c r="M1133" i="15" s="1"/>
  <c r="O1132" i="15"/>
  <c r="M1132" i="15"/>
  <c r="M1131" i="15"/>
  <c r="Q1130" i="15"/>
  <c r="S1130" i="15" s="1"/>
  <c r="T1128" i="15"/>
  <c r="S1128" i="15"/>
  <c r="Q1128" i="15"/>
  <c r="S1127" i="15"/>
  <c r="Q1127" i="15"/>
  <c r="O1125" i="15"/>
  <c r="M1125" i="15"/>
  <c r="Q1124" i="15"/>
  <c r="S1124" i="15" s="1"/>
  <c r="Q1123" i="15"/>
  <c r="S1123" i="15" s="1"/>
  <c r="U1121" i="15"/>
  <c r="O1121" i="15"/>
  <c r="M1121" i="15"/>
  <c r="O1120" i="15"/>
  <c r="Q1120" i="15" s="1"/>
  <c r="S1120" i="15" s="1"/>
  <c r="M1120" i="15"/>
  <c r="S1118" i="15"/>
  <c r="Q1118" i="15"/>
  <c r="U1117" i="15"/>
  <c r="M1117" i="15"/>
  <c r="Q1117" i="15" s="1"/>
  <c r="S1117" i="15" s="1"/>
  <c r="L1115" i="15"/>
  <c r="K1115" i="15"/>
  <c r="J1115" i="15"/>
  <c r="I1115" i="15"/>
  <c r="O1114" i="15"/>
  <c r="M1114" i="15"/>
  <c r="O1113" i="15"/>
  <c r="M1113" i="15"/>
  <c r="M1115" i="15" s="1"/>
  <c r="Q1115" i="15" s="1"/>
  <c r="S1115" i="15" s="1"/>
  <c r="Q1112" i="15"/>
  <c r="S1112" i="15" s="1"/>
  <c r="O1111" i="15"/>
  <c r="M1111" i="15"/>
  <c r="O1110" i="15"/>
  <c r="Q1110" i="15" s="1"/>
  <c r="S1110" i="15" s="1"/>
  <c r="M1110" i="15"/>
  <c r="O1109" i="15"/>
  <c r="Q1109" i="15" s="1"/>
  <c r="S1109" i="15" s="1"/>
  <c r="O1108" i="15"/>
  <c r="Q1108" i="15" s="1"/>
  <c r="S1108" i="15" s="1"/>
  <c r="Q1107" i="15"/>
  <c r="S1107" i="15" s="1"/>
  <c r="Q1106" i="15"/>
  <c r="S1106" i="15" s="1"/>
  <c r="M1105" i="15"/>
  <c r="Q1105" i="15" s="1"/>
  <c r="S1105" i="15" s="1"/>
  <c r="O1104" i="15"/>
  <c r="Q1104" i="15" s="1"/>
  <c r="S1104" i="15" s="1"/>
  <c r="M1104" i="15"/>
  <c r="O1103" i="15"/>
  <c r="Q1103" i="15" s="1"/>
  <c r="S1103" i="15" s="1"/>
  <c r="O1102" i="15"/>
  <c r="Q1102" i="15" s="1"/>
  <c r="S1102" i="15" s="1"/>
  <c r="M1102" i="15"/>
  <c r="O1101" i="15"/>
  <c r="M1101" i="15"/>
  <c r="S1100" i="15"/>
  <c r="Q1100" i="15"/>
  <c r="O1099" i="15"/>
  <c r="Q1099" i="15" s="1"/>
  <c r="S1099" i="15" s="1"/>
  <c r="M1099" i="15"/>
  <c r="O1098" i="15"/>
  <c r="M1098" i="15"/>
  <c r="Q1097" i="15"/>
  <c r="S1097" i="15" s="1"/>
  <c r="Q1095" i="15"/>
  <c r="S1095" i="15" s="1"/>
  <c r="Q1094" i="15"/>
  <c r="S1094" i="15" s="1"/>
  <c r="O1092" i="15"/>
  <c r="Q1092" i="15" s="1"/>
  <c r="S1092" i="15" s="1"/>
  <c r="O1091" i="15"/>
  <c r="Q1091" i="15" s="1"/>
  <c r="S1091" i="15" s="1"/>
  <c r="O1089" i="15"/>
  <c r="Q1089" i="15" s="1"/>
  <c r="S1089" i="15" s="1"/>
  <c r="J1089" i="15"/>
  <c r="J1088" i="15"/>
  <c r="O1088" i="15" s="1"/>
  <c r="Q1088" i="15" s="1"/>
  <c r="S1088" i="15" s="1"/>
  <c r="O1086" i="15"/>
  <c r="Q1086" i="15" s="1"/>
  <c r="S1086" i="15" s="1"/>
  <c r="O1085" i="15"/>
  <c r="Q1085" i="15" s="1"/>
  <c r="S1085" i="15" s="1"/>
  <c r="Q1083" i="15"/>
  <c r="S1083" i="15" s="1"/>
  <c r="Q1082" i="15"/>
  <c r="S1082" i="15" s="1"/>
  <c r="Q1080" i="15"/>
  <c r="S1080" i="15" s="1"/>
  <c r="O1078" i="15"/>
  <c r="O1077" i="15"/>
  <c r="O1076" i="15"/>
  <c r="Q1074" i="15"/>
  <c r="S1074" i="15" s="1"/>
  <c r="I1071" i="15"/>
  <c r="I1070" i="15"/>
  <c r="O1070" i="15" s="1"/>
  <c r="I1069" i="15"/>
  <c r="O1069" i="15" s="1"/>
  <c r="O1067" i="15"/>
  <c r="O1066" i="15"/>
  <c r="O1065" i="15"/>
  <c r="Q1063" i="15"/>
  <c r="S1063" i="15" s="1"/>
  <c r="Q1061" i="15"/>
  <c r="S1061" i="15" s="1"/>
  <c r="O1060" i="15"/>
  <c r="J1060" i="15"/>
  <c r="M1059" i="15"/>
  <c r="I1059" i="15"/>
  <c r="O1059" i="15" s="1"/>
  <c r="Q1059" i="15" s="1"/>
  <c r="S1059" i="15" s="1"/>
  <c r="Q1057" i="15"/>
  <c r="S1057" i="15" s="1"/>
  <c r="Q1055" i="15"/>
  <c r="S1055" i="15" s="1"/>
  <c r="O1054" i="15"/>
  <c r="O1053" i="15"/>
  <c r="O1052" i="15"/>
  <c r="T1051" i="15"/>
  <c r="T1052" i="15" s="1"/>
  <c r="T1053" i="15" s="1"/>
  <c r="T1054" i="15" s="1"/>
  <c r="T1055" i="15" s="1"/>
  <c r="O1051" i="15"/>
  <c r="Q1050" i="15"/>
  <c r="S1050" i="15" s="1"/>
  <c r="O1048" i="15"/>
  <c r="O1047" i="15"/>
  <c r="Q1045" i="15"/>
  <c r="S1045" i="15" s="1"/>
  <c r="Q1042" i="15"/>
  <c r="S1042" i="15" s="1"/>
  <c r="I1038" i="15"/>
  <c r="O1038" i="15" s="1"/>
  <c r="J1037" i="15"/>
  <c r="M1037" i="15" s="1"/>
  <c r="I1037" i="15"/>
  <c r="O1037" i="15" s="1"/>
  <c r="Q1037" i="15" s="1"/>
  <c r="S1037" i="15" s="1"/>
  <c r="M1036" i="15"/>
  <c r="Q1035" i="15"/>
  <c r="S1035" i="15" s="1"/>
  <c r="M1032" i="15"/>
  <c r="Q1032" i="15" s="1"/>
  <c r="S1032" i="15" s="1"/>
  <c r="L1032" i="15"/>
  <c r="K1032" i="15"/>
  <c r="J1032" i="15"/>
  <c r="S1031" i="15"/>
  <c r="Q1031" i="15"/>
  <c r="O1029" i="15"/>
  <c r="M1029" i="15"/>
  <c r="Q1028" i="15"/>
  <c r="S1028" i="15" s="1"/>
  <c r="Q1027" i="15"/>
  <c r="S1027" i="15" s="1"/>
  <c r="Q1025" i="15"/>
  <c r="S1025" i="15" s="1"/>
  <c r="V1024" i="15"/>
  <c r="O1024" i="15"/>
  <c r="Q1024" i="15" s="1"/>
  <c r="S1024" i="15" s="1"/>
  <c r="M1024" i="15"/>
  <c r="M1023" i="15"/>
  <c r="Q1023" i="15" s="1"/>
  <c r="S1023" i="15" s="1"/>
  <c r="Q1022" i="15"/>
  <c r="S1022" i="15" s="1"/>
  <c r="M1022" i="15"/>
  <c r="O1021" i="15"/>
  <c r="M1021" i="15"/>
  <c r="J1021" i="15"/>
  <c r="J1022" i="15" s="1"/>
  <c r="J1023" i="15" s="1"/>
  <c r="M1020" i="15"/>
  <c r="Q1020" i="15" s="1"/>
  <c r="S1020" i="15" s="1"/>
  <c r="O1017" i="15"/>
  <c r="O1012" i="15"/>
  <c r="Q1011" i="15"/>
  <c r="S1011" i="15" s="1"/>
  <c r="Q1009" i="15"/>
  <c r="S1009" i="15" s="1"/>
  <c r="Q1008" i="15"/>
  <c r="S1008" i="15" s="1"/>
  <c r="Q1007" i="15"/>
  <c r="S1007" i="15" s="1"/>
  <c r="Q1005" i="15"/>
  <c r="S1005" i="15" s="1"/>
  <c r="O1004" i="15"/>
  <c r="Q1004" i="15" s="1"/>
  <c r="S1004" i="15" s="1"/>
  <c r="O1003" i="15"/>
  <c r="Q1003" i="15" s="1"/>
  <c r="S1003" i="15" s="1"/>
  <c r="Q1001" i="15"/>
  <c r="S1001" i="15" s="1"/>
  <c r="O1000" i="15"/>
  <c r="O999" i="15"/>
  <c r="Q997" i="15"/>
  <c r="S997" i="15" s="1"/>
  <c r="J996" i="15"/>
  <c r="J999" i="15" s="1"/>
  <c r="O995" i="15"/>
  <c r="Q995" i="15" s="1"/>
  <c r="S995" i="15" s="1"/>
  <c r="M995" i="15"/>
  <c r="S993" i="15"/>
  <c r="Q993" i="15"/>
  <c r="Q992" i="15"/>
  <c r="S992" i="15" s="1"/>
  <c r="Q991" i="15"/>
  <c r="S991" i="15" s="1"/>
  <c r="O989" i="15"/>
  <c r="O988" i="15"/>
  <c r="O987" i="15"/>
  <c r="Q985" i="15"/>
  <c r="S985" i="15" s="1"/>
  <c r="O982" i="15"/>
  <c r="O980" i="15"/>
  <c r="O979" i="15"/>
  <c r="O978" i="15"/>
  <c r="Q976" i="15"/>
  <c r="S976" i="15" s="1"/>
  <c r="O973" i="15"/>
  <c r="O971" i="15"/>
  <c r="O970" i="15"/>
  <c r="Q969" i="15"/>
  <c r="S969" i="15" s="1"/>
  <c r="O967" i="15"/>
  <c r="O966" i="15"/>
  <c r="I965" i="15"/>
  <c r="O965" i="15" s="1"/>
  <c r="I964" i="15"/>
  <c r="Q963" i="15"/>
  <c r="S963" i="15" s="1"/>
  <c r="O960" i="15"/>
  <c r="O958" i="15"/>
  <c r="O957" i="15"/>
  <c r="O956" i="15"/>
  <c r="I956" i="15"/>
  <c r="O955" i="15"/>
  <c r="I955" i="15"/>
  <c r="Q954" i="15"/>
  <c r="S954" i="15" s="1"/>
  <c r="Q953" i="15"/>
  <c r="S953" i="15" s="1"/>
  <c r="O951" i="15"/>
  <c r="O949" i="15"/>
  <c r="O948" i="15"/>
  <c r="O947" i="15"/>
  <c r="I947" i="15"/>
  <c r="I946" i="15"/>
  <c r="Q945" i="15"/>
  <c r="S945" i="15" s="1"/>
  <c r="O942" i="15"/>
  <c r="J942" i="15"/>
  <c r="O940" i="15"/>
  <c r="M940" i="15"/>
  <c r="O939" i="15"/>
  <c r="J939" i="15"/>
  <c r="M939" i="15" s="1"/>
  <c r="O938" i="15"/>
  <c r="Q938" i="15" s="1"/>
  <c r="S938" i="15" s="1"/>
  <c r="M938" i="15"/>
  <c r="J938" i="15"/>
  <c r="O937" i="15"/>
  <c r="M937" i="15"/>
  <c r="Q935" i="15"/>
  <c r="S935" i="15" s="1"/>
  <c r="M935" i="15"/>
  <c r="M934" i="15"/>
  <c r="Q933" i="15"/>
  <c r="S933" i="15" s="1"/>
  <c r="O933" i="15"/>
  <c r="O934" i="15" s="1"/>
  <c r="O935" i="15" s="1"/>
  <c r="M933" i="15"/>
  <c r="Q932" i="15"/>
  <c r="S932" i="15" s="1"/>
  <c r="M932" i="15"/>
  <c r="Q931" i="15"/>
  <c r="P929" i="15"/>
  <c r="P930" i="15" s="1"/>
  <c r="P928" i="15"/>
  <c r="O928" i="15"/>
  <c r="Q928" i="15" s="1"/>
  <c r="S928" i="15" s="1"/>
  <c r="S927" i="15"/>
  <c r="Q927" i="15"/>
  <c r="I922" i="15"/>
  <c r="O922" i="15" s="1"/>
  <c r="O918" i="15"/>
  <c r="I918" i="15"/>
  <c r="I919" i="15" s="1"/>
  <c r="I920" i="15" s="1"/>
  <c r="O920" i="15" s="1"/>
  <c r="O917" i="15"/>
  <c r="O915" i="15"/>
  <c r="O914" i="15"/>
  <c r="O913" i="15"/>
  <c r="O912" i="15"/>
  <c r="I908" i="15"/>
  <c r="O908" i="15" s="1"/>
  <c r="O907" i="15"/>
  <c r="Q896" i="15"/>
  <c r="S896" i="15" s="1"/>
  <c r="Q891" i="15"/>
  <c r="S891" i="15" s="1"/>
  <c r="M890" i="15"/>
  <c r="O889" i="15"/>
  <c r="O890" i="15" s="1"/>
  <c r="M889" i="15"/>
  <c r="O888" i="15"/>
  <c r="M888" i="15"/>
  <c r="Q888" i="15" s="1"/>
  <c r="S888" i="15" s="1"/>
  <c r="M887" i="15"/>
  <c r="Q887" i="15" s="1"/>
  <c r="S887" i="15" s="1"/>
  <c r="Q880" i="15"/>
  <c r="S880" i="15" s="1"/>
  <c r="S879" i="15"/>
  <c r="Q879" i="15"/>
  <c r="Q878" i="15"/>
  <c r="S878" i="15" s="1"/>
  <c r="Q877" i="15"/>
  <c r="S877" i="15" s="1"/>
  <c r="S875" i="15"/>
  <c r="Q875" i="15"/>
  <c r="Q874" i="15"/>
  <c r="S874" i="15" s="1"/>
  <c r="K874" i="15"/>
  <c r="S873" i="15"/>
  <c r="Q873" i="15"/>
  <c r="N873" i="15"/>
  <c r="N874" i="15" s="1"/>
  <c r="N875" i="15" s="1"/>
  <c r="K873" i="15"/>
  <c r="J873" i="15"/>
  <c r="J878" i="15" s="1"/>
  <c r="J883" i="15" s="1"/>
  <c r="S872" i="15"/>
  <c r="Q872" i="15"/>
  <c r="J872" i="15"/>
  <c r="J877" i="15" s="1"/>
  <c r="J882" i="15" s="1"/>
  <c r="K870" i="15"/>
  <c r="J870" i="15"/>
  <c r="M870" i="15" s="1"/>
  <c r="K869" i="15"/>
  <c r="J869" i="15"/>
  <c r="M869" i="15" s="1"/>
  <c r="M868" i="15"/>
  <c r="K868" i="15"/>
  <c r="J868" i="15"/>
  <c r="K867" i="15"/>
  <c r="K872" i="15" s="1"/>
  <c r="J867" i="15"/>
  <c r="M865" i="15"/>
  <c r="M864" i="15"/>
  <c r="M863" i="15"/>
  <c r="I863" i="15"/>
  <c r="I864" i="15" s="1"/>
  <c r="O862" i="15"/>
  <c r="Q862" i="15" s="1"/>
  <c r="S862" i="15" s="1"/>
  <c r="M862" i="15"/>
  <c r="O860" i="15"/>
  <c r="J860" i="15"/>
  <c r="M860" i="15" s="1"/>
  <c r="M858" i="15"/>
  <c r="Q857" i="15"/>
  <c r="S857" i="15" s="1"/>
  <c r="K854" i="15"/>
  <c r="M854" i="15" s="1"/>
  <c r="Q854" i="15" s="1"/>
  <c r="S854" i="15" s="1"/>
  <c r="J854" i="15"/>
  <c r="S853" i="15"/>
  <c r="M853" i="15"/>
  <c r="Q853" i="15" s="1"/>
  <c r="K853" i="15"/>
  <c r="J853" i="15"/>
  <c r="I853" i="15"/>
  <c r="I854" i="15" s="1"/>
  <c r="M852" i="15"/>
  <c r="Q852" i="15" s="1"/>
  <c r="S852" i="15" s="1"/>
  <c r="Q851" i="15"/>
  <c r="S851" i="15" s="1"/>
  <c r="S849" i="15"/>
  <c r="Q849" i="15"/>
  <c r="Q848" i="15"/>
  <c r="S848" i="15" s="1"/>
  <c r="Q847" i="15"/>
  <c r="S847" i="15" s="1"/>
  <c r="K846" i="15"/>
  <c r="M846" i="15" s="1"/>
  <c r="Q846" i="15" s="1"/>
  <c r="S846" i="15" s="1"/>
  <c r="J846" i="15"/>
  <c r="J847" i="15" s="1"/>
  <c r="J848" i="15" s="1"/>
  <c r="J849" i="15" s="1"/>
  <c r="M845" i="15"/>
  <c r="K845" i="15"/>
  <c r="J845" i="15"/>
  <c r="I845" i="15"/>
  <c r="I846" i="15" s="1"/>
  <c r="I847" i="15" s="1"/>
  <c r="I848" i="15" s="1"/>
  <c r="I849" i="15" s="1"/>
  <c r="O844" i="15"/>
  <c r="M844" i="15"/>
  <c r="Q842" i="15"/>
  <c r="S842" i="15" s="1"/>
  <c r="S841" i="15"/>
  <c r="Q841" i="15"/>
  <c r="S840" i="15"/>
  <c r="Q840" i="15"/>
  <c r="M839" i="15"/>
  <c r="Q839" i="15" s="1"/>
  <c r="S839" i="15" s="1"/>
  <c r="O838" i="15"/>
  <c r="J838" i="15"/>
  <c r="J839" i="15" s="1"/>
  <c r="J840" i="15" s="1"/>
  <c r="J841" i="15" s="1"/>
  <c r="J842" i="15" s="1"/>
  <c r="O837" i="15"/>
  <c r="Q837" i="15" s="1"/>
  <c r="S837" i="15" s="1"/>
  <c r="M837" i="15"/>
  <c r="S835" i="15"/>
  <c r="Q835" i="15"/>
  <c r="O835" i="15"/>
  <c r="M835" i="15"/>
  <c r="M834" i="15"/>
  <c r="Q834" i="15" s="1"/>
  <c r="S834" i="15" s="1"/>
  <c r="Q833" i="15"/>
  <c r="S833" i="15" s="1"/>
  <c r="M833" i="15"/>
  <c r="S832" i="15"/>
  <c r="Q832" i="15"/>
  <c r="M832" i="15"/>
  <c r="S830" i="15"/>
  <c r="Q830" i="15"/>
  <c r="M830" i="15"/>
  <c r="S829" i="15"/>
  <c r="Q829" i="15"/>
  <c r="M829" i="15"/>
  <c r="M828" i="15"/>
  <c r="Q828" i="15" s="1"/>
  <c r="S828" i="15" s="1"/>
  <c r="Q827" i="15"/>
  <c r="S827" i="15" s="1"/>
  <c r="M827" i="15"/>
  <c r="Q825" i="15"/>
  <c r="S825" i="15" s="1"/>
  <c r="O825" i="15"/>
  <c r="M825" i="15"/>
  <c r="S824" i="15"/>
  <c r="Q824" i="15"/>
  <c r="S822" i="15"/>
  <c r="Q822" i="15"/>
  <c r="Q820" i="15"/>
  <c r="S820" i="15" s="1"/>
  <c r="M820" i="15"/>
  <c r="S819" i="15"/>
  <c r="Q819" i="15"/>
  <c r="M819" i="15"/>
  <c r="S817" i="15"/>
  <c r="Q817" i="15"/>
  <c r="S816" i="15"/>
  <c r="Q816" i="15"/>
  <c r="S815" i="15"/>
  <c r="Q815" i="15"/>
  <c r="Q813" i="15"/>
  <c r="S813" i="15" s="1"/>
  <c r="Q812" i="15"/>
  <c r="S812" i="15" s="1"/>
  <c r="Q811" i="15"/>
  <c r="S811" i="15" s="1"/>
  <c r="Q810" i="15"/>
  <c r="S810" i="15" s="1"/>
  <c r="Q809" i="15"/>
  <c r="S809" i="15" s="1"/>
  <c r="M809" i="15"/>
  <c r="Q807" i="15"/>
  <c r="S807" i="15" s="1"/>
  <c r="O807" i="15"/>
  <c r="M807" i="15"/>
  <c r="S806" i="15"/>
  <c r="Q806" i="15"/>
  <c r="S804" i="15"/>
  <c r="Q804" i="15"/>
  <c r="Q802" i="15"/>
  <c r="S802" i="15" s="1"/>
  <c r="Q801" i="15"/>
  <c r="S801" i="15" s="1"/>
  <c r="M801" i="15"/>
  <c r="Q799" i="15"/>
  <c r="S799" i="15" s="1"/>
  <c r="Q798" i="15"/>
  <c r="S798" i="15" s="1"/>
  <c r="Q797" i="15"/>
  <c r="S797" i="15" s="1"/>
  <c r="M797" i="15"/>
  <c r="M794" i="15"/>
  <c r="Q794" i="15" s="1"/>
  <c r="S794" i="15" s="1"/>
  <c r="Q793" i="15"/>
  <c r="S793" i="15" s="1"/>
  <c r="M793" i="15"/>
  <c r="S792" i="15"/>
  <c r="Q792" i="15"/>
  <c r="M792" i="15"/>
  <c r="M791" i="15"/>
  <c r="Q791" i="15" s="1"/>
  <c r="S791" i="15" s="1"/>
  <c r="S789" i="15"/>
  <c r="Q789" i="15"/>
  <c r="M789" i="15"/>
  <c r="M788" i="15"/>
  <c r="Q788" i="15" s="1"/>
  <c r="S788" i="15" s="1"/>
  <c r="M786" i="15"/>
  <c r="Q786" i="15" s="1"/>
  <c r="S786" i="15" s="1"/>
  <c r="Q785" i="15"/>
  <c r="S785" i="15" s="1"/>
  <c r="M785" i="15"/>
  <c r="S784" i="15"/>
  <c r="Q784" i="15"/>
  <c r="M784" i="15"/>
  <c r="S783" i="15"/>
  <c r="Q783" i="15"/>
  <c r="S781" i="15"/>
  <c r="Q781" i="15"/>
  <c r="M781" i="15"/>
  <c r="M780" i="15"/>
  <c r="Q780" i="15" s="1"/>
  <c r="S780" i="15" s="1"/>
  <c r="M779" i="15"/>
  <c r="Q779" i="15" s="1"/>
  <c r="S779" i="15" s="1"/>
  <c r="Q778" i="15"/>
  <c r="S778" i="15" s="1"/>
  <c r="M776" i="15"/>
  <c r="Q776" i="15" s="1"/>
  <c r="S776" i="15" s="1"/>
  <c r="Q775" i="15"/>
  <c r="S775" i="15" s="1"/>
  <c r="M775" i="15"/>
  <c r="S774" i="15"/>
  <c r="Q774" i="15"/>
  <c r="M774" i="15"/>
  <c r="M773" i="15"/>
  <c r="Q773" i="15" s="1"/>
  <c r="S773" i="15" s="1"/>
  <c r="M772" i="15"/>
  <c r="Q772" i="15" s="1"/>
  <c r="S772" i="15" s="1"/>
  <c r="Q771" i="15"/>
  <c r="S771" i="15" s="1"/>
  <c r="M771" i="15"/>
  <c r="S770" i="15"/>
  <c r="Q770" i="15"/>
  <c r="M770" i="15"/>
  <c r="M769" i="15"/>
  <c r="Q769" i="15" s="1"/>
  <c r="S769" i="15" s="1"/>
  <c r="M768" i="15"/>
  <c r="Q768" i="15" s="1"/>
  <c r="S768" i="15" s="1"/>
  <c r="Q767" i="15"/>
  <c r="S767" i="15" s="1"/>
  <c r="M767" i="15"/>
  <c r="S766" i="15"/>
  <c r="Q766" i="15"/>
  <c r="M766" i="15"/>
  <c r="M765" i="15"/>
  <c r="Q765" i="15" s="1"/>
  <c r="S765" i="15" s="1"/>
  <c r="Q764" i="15"/>
  <c r="S764" i="15" s="1"/>
  <c r="Q763" i="15"/>
  <c r="S763" i="15" s="1"/>
  <c r="Q760" i="15"/>
  <c r="S760" i="15" s="1"/>
  <c r="Q758" i="15"/>
  <c r="S758" i="15" s="1"/>
  <c r="O756" i="15"/>
  <c r="K755" i="15"/>
  <c r="J755" i="15"/>
  <c r="M755" i="15" s="1"/>
  <c r="I755" i="15"/>
  <c r="O755" i="15" s="1"/>
  <c r="K754" i="15"/>
  <c r="J754" i="15"/>
  <c r="M754" i="15" s="1"/>
  <c r="Q754" i="15" s="1"/>
  <c r="S754" i="15" s="1"/>
  <c r="K753" i="15"/>
  <c r="J753" i="15"/>
  <c r="M753" i="15" s="1"/>
  <c r="I753" i="15"/>
  <c r="S751" i="15"/>
  <c r="Q751" i="15"/>
  <c r="M751" i="15"/>
  <c r="S750" i="15"/>
  <c r="Q750" i="15"/>
  <c r="M750" i="15"/>
  <c r="I750" i="15"/>
  <c r="I754" i="15" s="1"/>
  <c r="Q749" i="15"/>
  <c r="S749" i="15" s="1"/>
  <c r="M749" i="15"/>
  <c r="S748" i="15"/>
  <c r="Q748" i="15"/>
  <c r="S745" i="15"/>
  <c r="Q745" i="15"/>
  <c r="M744" i="15"/>
  <c r="Q744" i="15" s="1"/>
  <c r="S744" i="15" s="1"/>
  <c r="Q743" i="15"/>
  <c r="S743" i="15" s="1"/>
  <c r="M743" i="15"/>
  <c r="Q741" i="15"/>
  <c r="S741" i="15" s="1"/>
  <c r="Q740" i="15"/>
  <c r="S740" i="15" s="1"/>
  <c r="S739" i="15"/>
  <c r="Q739" i="15"/>
  <c r="S737" i="15"/>
  <c r="Q737" i="15"/>
  <c r="S736" i="15"/>
  <c r="Q736" i="15"/>
  <c r="S735" i="15"/>
  <c r="Q735" i="15"/>
  <c r="S733" i="15"/>
  <c r="Q733" i="15"/>
  <c r="S732" i="15"/>
  <c r="Q732" i="15"/>
  <c r="O731" i="15"/>
  <c r="M731" i="15"/>
  <c r="Q731" i="15" s="1"/>
  <c r="S731" i="15" s="1"/>
  <c r="Q729" i="15"/>
  <c r="S729" i="15" s="1"/>
  <c r="Q728" i="15"/>
  <c r="S728" i="15" s="1"/>
  <c r="I728" i="15"/>
  <c r="I740" i="15" s="1"/>
  <c r="S727" i="15"/>
  <c r="Q727" i="15"/>
  <c r="I727" i="15"/>
  <c r="I739" i="15" s="1"/>
  <c r="S725" i="15"/>
  <c r="Q725" i="15"/>
  <c r="S724" i="15"/>
  <c r="Q724" i="15"/>
  <c r="K724" i="15"/>
  <c r="K725" i="15" s="1"/>
  <c r="I724" i="15"/>
  <c r="I736" i="15" s="1"/>
  <c r="Q723" i="15"/>
  <c r="S723" i="15" s="1"/>
  <c r="K723" i="15"/>
  <c r="I723" i="15"/>
  <c r="I735" i="15" s="1"/>
  <c r="M720" i="15"/>
  <c r="Q720" i="15" s="1"/>
  <c r="S720" i="15" s="1"/>
  <c r="K720" i="15"/>
  <c r="K721" i="15" s="1"/>
  <c r="M721" i="15" s="1"/>
  <c r="Q721" i="15" s="1"/>
  <c r="S721" i="15" s="1"/>
  <c r="I720" i="15"/>
  <c r="I732" i="15" s="1"/>
  <c r="K719" i="15"/>
  <c r="M719" i="15" s="1"/>
  <c r="Q719" i="15" s="1"/>
  <c r="S719" i="15" s="1"/>
  <c r="I719" i="15"/>
  <c r="Q717" i="15"/>
  <c r="S717" i="15" s="1"/>
  <c r="M717" i="15"/>
  <c r="K717" i="15"/>
  <c r="S716" i="15"/>
  <c r="Q716" i="15"/>
  <c r="M716" i="15"/>
  <c r="M715" i="15"/>
  <c r="Q715" i="15" s="1"/>
  <c r="S715" i="15" s="1"/>
  <c r="Q713" i="15"/>
  <c r="S713" i="15" s="1"/>
  <c r="M712" i="15"/>
  <c r="Q712" i="15" s="1"/>
  <c r="S712" i="15" s="1"/>
  <c r="Q711" i="15"/>
  <c r="S711" i="15" s="1"/>
  <c r="M711" i="15"/>
  <c r="Q709" i="15"/>
  <c r="S709" i="15" s="1"/>
  <c r="Q708" i="15"/>
  <c r="S708" i="15" s="1"/>
  <c r="S707" i="15"/>
  <c r="Q707" i="15"/>
  <c r="S705" i="15"/>
  <c r="Q705" i="15"/>
  <c r="S704" i="15"/>
  <c r="Q704" i="15"/>
  <c r="S703" i="15"/>
  <c r="Q703" i="15"/>
  <c r="S701" i="15"/>
  <c r="Q701" i="15"/>
  <c r="S700" i="15"/>
  <c r="Q700" i="15"/>
  <c r="O699" i="15"/>
  <c r="M699" i="15"/>
  <c r="Q699" i="15" s="1"/>
  <c r="S699" i="15" s="1"/>
  <c r="Q697" i="15"/>
  <c r="S697" i="15" s="1"/>
  <c r="Q696" i="15"/>
  <c r="S696" i="15" s="1"/>
  <c r="I696" i="15"/>
  <c r="I708" i="15" s="1"/>
  <c r="S695" i="15"/>
  <c r="Q695" i="15"/>
  <c r="I695" i="15"/>
  <c r="I707" i="15" s="1"/>
  <c r="S693" i="15"/>
  <c r="Q693" i="15"/>
  <c r="S692" i="15"/>
  <c r="Q692" i="15"/>
  <c r="K692" i="15"/>
  <c r="I692" i="15"/>
  <c r="I704" i="15" s="1"/>
  <c r="Q691" i="15"/>
  <c r="S691" i="15" s="1"/>
  <c r="K691" i="15"/>
  <c r="K693" i="15" s="1"/>
  <c r="I691" i="15"/>
  <c r="I703" i="15" s="1"/>
  <c r="M688" i="15"/>
  <c r="Q688" i="15" s="1"/>
  <c r="S688" i="15" s="1"/>
  <c r="K688" i="15"/>
  <c r="I688" i="15"/>
  <c r="I700" i="15" s="1"/>
  <c r="K687" i="15"/>
  <c r="M687" i="15" s="1"/>
  <c r="Q687" i="15" s="1"/>
  <c r="S687" i="15" s="1"/>
  <c r="I687" i="15"/>
  <c r="Q685" i="15"/>
  <c r="S685" i="15" s="1"/>
  <c r="M685" i="15"/>
  <c r="K685" i="15"/>
  <c r="S684" i="15"/>
  <c r="Q684" i="15"/>
  <c r="M684" i="15"/>
  <c r="M683" i="15"/>
  <c r="Q683" i="15" s="1"/>
  <c r="S683" i="15" s="1"/>
  <c r="S680" i="15"/>
  <c r="Q680" i="15"/>
  <c r="O680" i="15"/>
  <c r="O679" i="15"/>
  <c r="J679" i="15"/>
  <c r="M679" i="15" s="1"/>
  <c r="Q679" i="15" s="1"/>
  <c r="S679" i="15" s="1"/>
  <c r="I679" i="15"/>
  <c r="S678" i="15"/>
  <c r="Q678" i="15"/>
  <c r="I678" i="15"/>
  <c r="Q677" i="15"/>
  <c r="S677" i="15" s="1"/>
  <c r="I677" i="15"/>
  <c r="O676" i="15"/>
  <c r="J676" i="15"/>
  <c r="M676" i="15" s="1"/>
  <c r="Q676" i="15" s="1"/>
  <c r="S676" i="15" s="1"/>
  <c r="I676" i="15"/>
  <c r="O675" i="15"/>
  <c r="I675" i="15"/>
  <c r="M675" i="15" s="1"/>
  <c r="Q675" i="15" s="1"/>
  <c r="S675" i="15" s="1"/>
  <c r="Q673" i="15"/>
  <c r="S673" i="15" s="1"/>
  <c r="I673" i="15"/>
  <c r="S672" i="15"/>
  <c r="Q672" i="15"/>
  <c r="Q669" i="15"/>
  <c r="S669" i="15" s="1"/>
  <c r="O669" i="15"/>
  <c r="M669" i="15"/>
  <c r="J669" i="15"/>
  <c r="I669" i="15"/>
  <c r="Q668" i="15"/>
  <c r="S668" i="15" s="1"/>
  <c r="I668" i="15"/>
  <c r="S667" i="15"/>
  <c r="Q667" i="15"/>
  <c r="I667" i="15"/>
  <c r="O666" i="15"/>
  <c r="M666" i="15"/>
  <c r="Q666" i="15" s="1"/>
  <c r="S666" i="15" s="1"/>
  <c r="J666" i="15"/>
  <c r="I666" i="15"/>
  <c r="O665" i="15"/>
  <c r="M665" i="15"/>
  <c r="Q665" i="15" s="1"/>
  <c r="S665" i="15" s="1"/>
  <c r="I665" i="15"/>
  <c r="Q663" i="15"/>
  <c r="S663" i="15" s="1"/>
  <c r="I663" i="15"/>
  <c r="S662" i="15"/>
  <c r="Q662" i="15"/>
  <c r="O659" i="15"/>
  <c r="J659" i="15"/>
  <c r="M659" i="15" s="1"/>
  <c r="O658" i="15"/>
  <c r="Q658" i="15" s="1"/>
  <c r="S658" i="15" s="1"/>
  <c r="M658" i="15"/>
  <c r="J658" i="15"/>
  <c r="O657" i="15"/>
  <c r="M657" i="15"/>
  <c r="S656" i="15"/>
  <c r="Q656" i="15"/>
  <c r="Q655" i="15"/>
  <c r="S655" i="15" s="1"/>
  <c r="S654" i="15"/>
  <c r="Q654" i="15"/>
  <c r="Q653" i="15"/>
  <c r="S653" i="15" s="1"/>
  <c r="S652" i="15"/>
  <c r="Q652" i="15"/>
  <c r="Q651" i="15"/>
  <c r="S651" i="15" s="1"/>
  <c r="S650" i="15"/>
  <c r="Q650" i="15"/>
  <c r="J650" i="15"/>
  <c r="J651" i="15" s="1"/>
  <c r="J652" i="15" s="1"/>
  <c r="J653" i="15" s="1"/>
  <c r="J654" i="15" s="1"/>
  <c r="J655" i="15" s="1"/>
  <c r="J656" i="15" s="1"/>
  <c r="Q649" i="15"/>
  <c r="S649" i="15" s="1"/>
  <c r="O648" i="15"/>
  <c r="Q648" i="15" s="1"/>
  <c r="S648" i="15" s="1"/>
  <c r="M648" i="15"/>
  <c r="J648" i="15"/>
  <c r="S647" i="15"/>
  <c r="O646" i="15"/>
  <c r="M646" i="15"/>
  <c r="Q645" i="15"/>
  <c r="S645" i="15" s="1"/>
  <c r="Q642" i="15"/>
  <c r="S642" i="15" s="1"/>
  <c r="S641" i="15"/>
  <c r="Q641" i="15"/>
  <c r="J641" i="15"/>
  <c r="J642" i="15" s="1"/>
  <c r="Q640" i="15"/>
  <c r="S640" i="15" s="1"/>
  <c r="Q639" i="15"/>
  <c r="S639" i="15" s="1"/>
  <c r="Q637" i="15"/>
  <c r="S637" i="15" s="1"/>
  <c r="Q636" i="15"/>
  <c r="S636" i="15" s="1"/>
  <c r="O636" i="15"/>
  <c r="M636" i="15"/>
  <c r="Q635" i="15"/>
  <c r="S635" i="15" s="1"/>
  <c r="O634" i="15"/>
  <c r="M634" i="15"/>
  <c r="Q634" i="15" s="1"/>
  <c r="S634" i="15" s="1"/>
  <c r="S632" i="15"/>
  <c r="Q632" i="15"/>
  <c r="O631" i="15"/>
  <c r="Q631" i="15" s="1"/>
  <c r="S631" i="15" s="1"/>
  <c r="M631" i="15"/>
  <c r="S630" i="15"/>
  <c r="Q630" i="15"/>
  <c r="S629" i="15"/>
  <c r="O629" i="15"/>
  <c r="M629" i="15"/>
  <c r="Q629" i="15" s="1"/>
  <c r="Q627" i="15"/>
  <c r="S627" i="15" s="1"/>
  <c r="Q626" i="15"/>
  <c r="S626" i="15" s="1"/>
  <c r="Q625" i="15"/>
  <c r="S625" i="15" s="1"/>
  <c r="O623" i="15"/>
  <c r="M623" i="15"/>
  <c r="Q623" i="15" s="1"/>
  <c r="S623" i="15" s="1"/>
  <c r="O622" i="15"/>
  <c r="Q622" i="15" s="1"/>
  <c r="S622" i="15" s="1"/>
  <c r="M622" i="15"/>
  <c r="S621" i="15"/>
  <c r="O621" i="15"/>
  <c r="M621" i="15"/>
  <c r="Q621" i="15" s="1"/>
  <c r="O620" i="15"/>
  <c r="M620" i="15"/>
  <c r="Q618" i="15"/>
  <c r="S618" i="15" s="1"/>
  <c r="O618" i="15"/>
  <c r="S617" i="15"/>
  <c r="Q617" i="15"/>
  <c r="S616" i="15"/>
  <c r="Q616" i="15"/>
  <c r="O614" i="15"/>
  <c r="J614" i="15"/>
  <c r="M614" i="15" s="1"/>
  <c r="M613" i="15"/>
  <c r="Q613" i="15" s="1"/>
  <c r="S613" i="15" s="1"/>
  <c r="Q612" i="15"/>
  <c r="S612" i="15" s="1"/>
  <c r="O610" i="15"/>
  <c r="M610" i="15"/>
  <c r="Q610" i="15" s="1"/>
  <c r="S610" i="15" s="1"/>
  <c r="J610" i="15"/>
  <c r="M609" i="15"/>
  <c r="Q609" i="15" s="1"/>
  <c r="S609" i="15" s="1"/>
  <c r="O608" i="15"/>
  <c r="M608" i="15"/>
  <c r="Q608" i="15" s="1"/>
  <c r="S608" i="15" s="1"/>
  <c r="Q606" i="15"/>
  <c r="S606" i="15" s="1"/>
  <c r="Q605" i="15"/>
  <c r="S605" i="15" s="1"/>
  <c r="Q602" i="15"/>
  <c r="S602" i="15" s="1"/>
  <c r="S601" i="15"/>
  <c r="Q601" i="15"/>
  <c r="S600" i="15"/>
  <c r="Q600" i="15"/>
  <c r="Q599" i="15"/>
  <c r="S599" i="15" s="1"/>
  <c r="Q598" i="15"/>
  <c r="S598" i="15" s="1"/>
  <c r="Q596" i="15"/>
  <c r="S596" i="15" s="1"/>
  <c r="S595" i="15"/>
  <c r="Q595" i="15"/>
  <c r="J595" i="15"/>
  <c r="J596" i="15" s="1"/>
  <c r="O594" i="15"/>
  <c r="M594" i="15"/>
  <c r="Q593" i="15"/>
  <c r="S593" i="15" s="1"/>
  <c r="O592" i="15"/>
  <c r="O590" i="15"/>
  <c r="I590" i="15"/>
  <c r="O588" i="15"/>
  <c r="Q585" i="15"/>
  <c r="S585" i="15" s="1"/>
  <c r="S583" i="15"/>
  <c r="Q583" i="15"/>
  <c r="J583" i="15"/>
  <c r="S582" i="15"/>
  <c r="Q582" i="15"/>
  <c r="J582" i="15"/>
  <c r="M580" i="15"/>
  <c r="I580" i="15"/>
  <c r="I583" i="15" s="1"/>
  <c r="O579" i="15"/>
  <c r="Q579" i="15" s="1"/>
  <c r="S579" i="15" s="1"/>
  <c r="M579" i="15"/>
  <c r="S578" i="15"/>
  <c r="Q578" i="15"/>
  <c r="O577" i="15"/>
  <c r="M577" i="15"/>
  <c r="S576" i="15"/>
  <c r="Q576" i="15"/>
  <c r="Q573" i="15"/>
  <c r="S573" i="15" s="1"/>
  <c r="O572" i="15"/>
  <c r="Q572" i="15" s="1"/>
  <c r="S572" i="15" s="1"/>
  <c r="O570" i="15"/>
  <c r="O569" i="15"/>
  <c r="Q568" i="15"/>
  <c r="S568" i="15" s="1"/>
  <c r="O567" i="15"/>
  <c r="J567" i="15"/>
  <c r="M567" i="15" s="1"/>
  <c r="O566" i="15"/>
  <c r="M566" i="15"/>
  <c r="Q565" i="15"/>
  <c r="S565" i="15" s="1"/>
  <c r="Q563" i="15"/>
  <c r="S563" i="15" s="1"/>
  <c r="S562" i="15"/>
  <c r="Q562" i="15"/>
  <c r="J562" i="15"/>
  <c r="O560" i="15"/>
  <c r="Q560" i="15" s="1"/>
  <c r="S560" i="15" s="1"/>
  <c r="J560" i="15"/>
  <c r="J563" i="15" s="1"/>
  <c r="O559" i="15"/>
  <c r="Q559" i="15" s="1"/>
  <c r="S559" i="15" s="1"/>
  <c r="S557" i="15"/>
  <c r="Q557" i="15"/>
  <c r="S556" i="15"/>
  <c r="Q556" i="15"/>
  <c r="Q554" i="15"/>
  <c r="S554" i="15" s="1"/>
  <c r="Q553" i="15"/>
  <c r="S553" i="15" s="1"/>
  <c r="S551" i="15"/>
  <c r="Q551" i="15"/>
  <c r="Q550" i="15"/>
  <c r="S550" i="15" s="1"/>
  <c r="Q548" i="15"/>
  <c r="S548" i="15" s="1"/>
  <c r="L548" i="15"/>
  <c r="K548" i="15"/>
  <c r="I548" i="15"/>
  <c r="O546" i="15"/>
  <c r="O545" i="15"/>
  <c r="O544" i="15"/>
  <c r="O543" i="15"/>
  <c r="S542" i="15"/>
  <c r="Q542" i="15"/>
  <c r="O538" i="15"/>
  <c r="O537" i="15"/>
  <c r="O535" i="15"/>
  <c r="O534" i="15"/>
  <c r="O533" i="15"/>
  <c r="O532" i="15"/>
  <c r="Q531" i="15"/>
  <c r="S531" i="15" s="1"/>
  <c r="O528" i="15"/>
  <c r="O527" i="15"/>
  <c r="M525" i="15"/>
  <c r="Q525" i="15" s="1"/>
  <c r="S525" i="15" s="1"/>
  <c r="L525" i="15"/>
  <c r="K525" i="15"/>
  <c r="I525" i="15"/>
  <c r="S523" i="15"/>
  <c r="Q523" i="15"/>
  <c r="O522" i="15"/>
  <c r="O521" i="15"/>
  <c r="O520" i="15"/>
  <c r="O519" i="15"/>
  <c r="Q518" i="15"/>
  <c r="S518" i="15" s="1"/>
  <c r="Q513" i="15"/>
  <c r="S513" i="15" s="1"/>
  <c r="M511" i="15"/>
  <c r="J511" i="15"/>
  <c r="J512" i="15" s="1"/>
  <c r="I511" i="15"/>
  <c r="O511" i="15" s="1"/>
  <c r="Q510" i="15"/>
  <c r="S510" i="15" s="1"/>
  <c r="I510" i="15"/>
  <c r="O508" i="15"/>
  <c r="O507" i="15"/>
  <c r="O506" i="15"/>
  <c r="O505" i="15"/>
  <c r="J505" i="15"/>
  <c r="J506" i="15" s="1"/>
  <c r="O504" i="15"/>
  <c r="M504" i="15"/>
  <c r="O503" i="15"/>
  <c r="M503" i="15"/>
  <c r="Q502" i="15"/>
  <c r="S502" i="15" s="1"/>
  <c r="T500" i="15"/>
  <c r="S500" i="15"/>
  <c r="Q500" i="15"/>
  <c r="S499" i="15"/>
  <c r="Q499" i="15"/>
  <c r="O497" i="15"/>
  <c r="Q497" i="15" s="1"/>
  <c r="S497" i="15" s="1"/>
  <c r="M497" i="15"/>
  <c r="Q496" i="15"/>
  <c r="S496" i="15" s="1"/>
  <c r="Q495" i="15"/>
  <c r="S495" i="15" s="1"/>
  <c r="U493" i="15"/>
  <c r="O493" i="15"/>
  <c r="M493" i="15"/>
  <c r="O492" i="15"/>
  <c r="Q492" i="15" s="1"/>
  <c r="S492" i="15" s="1"/>
  <c r="M492" i="15"/>
  <c r="S490" i="15"/>
  <c r="Q490" i="15"/>
  <c r="U489" i="15"/>
  <c r="Q489" i="15"/>
  <c r="S489" i="15" s="1"/>
  <c r="M489" i="15"/>
  <c r="Q487" i="15"/>
  <c r="S487" i="15" s="1"/>
  <c r="M487" i="15"/>
  <c r="O486" i="15"/>
  <c r="M486" i="15"/>
  <c r="O485" i="15"/>
  <c r="Q485" i="15" s="1"/>
  <c r="S485" i="15" s="1"/>
  <c r="O484" i="15"/>
  <c r="M484" i="15"/>
  <c r="O483" i="15"/>
  <c r="Q483" i="15" s="1"/>
  <c r="S483" i="15" s="1"/>
  <c r="M483" i="15"/>
  <c r="Q482" i="15"/>
  <c r="S482" i="15" s="1"/>
  <c r="O481" i="15"/>
  <c r="M481" i="15"/>
  <c r="O480" i="15"/>
  <c r="Q480" i="15" s="1"/>
  <c r="S480" i="15" s="1"/>
  <c r="M480" i="15"/>
  <c r="Q479" i="15"/>
  <c r="S479" i="15" s="1"/>
  <c r="S477" i="15"/>
  <c r="Q477" i="15"/>
  <c r="S476" i="15"/>
  <c r="Q476" i="15"/>
  <c r="O474" i="15"/>
  <c r="Q474" i="15" s="1"/>
  <c r="S474" i="15" s="1"/>
  <c r="O473" i="15"/>
  <c r="Q473" i="15" s="1"/>
  <c r="S473" i="15" s="1"/>
  <c r="O471" i="15"/>
  <c r="Q471" i="15" s="1"/>
  <c r="S471" i="15" s="1"/>
  <c r="J471" i="15"/>
  <c r="O470" i="15"/>
  <c r="Q470" i="15" s="1"/>
  <c r="S470" i="15" s="1"/>
  <c r="J470" i="15"/>
  <c r="O468" i="15"/>
  <c r="Q468" i="15" s="1"/>
  <c r="S468" i="15" s="1"/>
  <c r="O467" i="15"/>
  <c r="Q467" i="15" s="1"/>
  <c r="S467" i="15" s="1"/>
  <c r="S465" i="15"/>
  <c r="Q465" i="15"/>
  <c r="Q464" i="15"/>
  <c r="S464" i="15" s="1"/>
  <c r="Q462" i="15"/>
  <c r="S462" i="15" s="1"/>
  <c r="O460" i="15"/>
  <c r="O459" i="15"/>
  <c r="O458" i="15"/>
  <c r="O457" i="15"/>
  <c r="Q456" i="15"/>
  <c r="S456" i="15" s="1"/>
  <c r="I453" i="15"/>
  <c r="O452" i="15"/>
  <c r="I452" i="15"/>
  <c r="O451" i="15"/>
  <c r="I451" i="15"/>
  <c r="O449" i="15"/>
  <c r="O448" i="15"/>
  <c r="O447" i="15"/>
  <c r="Q445" i="15"/>
  <c r="S445" i="15" s="1"/>
  <c r="Q443" i="15"/>
  <c r="S443" i="15" s="1"/>
  <c r="O442" i="15"/>
  <c r="J442" i="15"/>
  <c r="M442" i="15" s="1"/>
  <c r="M441" i="15"/>
  <c r="I441" i="15"/>
  <c r="O441" i="15" s="1"/>
  <c r="Q439" i="15"/>
  <c r="S439" i="15" s="1"/>
  <c r="Q437" i="15"/>
  <c r="S437" i="15" s="1"/>
  <c r="O436" i="15"/>
  <c r="O435" i="15"/>
  <c r="O434" i="15"/>
  <c r="T433" i="15"/>
  <c r="T434" i="15" s="1"/>
  <c r="T435" i="15" s="1"/>
  <c r="T436" i="15" s="1"/>
  <c r="T437" i="15" s="1"/>
  <c r="O433" i="15"/>
  <c r="Q432" i="15"/>
  <c r="S432" i="15" s="1"/>
  <c r="O430" i="15"/>
  <c r="O429" i="15"/>
  <c r="Q427" i="15"/>
  <c r="S427" i="15" s="1"/>
  <c r="Q424" i="15"/>
  <c r="S424" i="15" s="1"/>
  <c r="M421" i="15"/>
  <c r="M419" i="15"/>
  <c r="J419" i="15"/>
  <c r="J420" i="15" s="1"/>
  <c r="J421" i="15" s="1"/>
  <c r="J422" i="15" s="1"/>
  <c r="J424" i="15" s="1"/>
  <c r="J425" i="15" s="1"/>
  <c r="I419" i="15"/>
  <c r="I420" i="15" s="1"/>
  <c r="O418" i="15"/>
  <c r="M418" i="15"/>
  <c r="Q417" i="15"/>
  <c r="S417" i="15" s="1"/>
  <c r="M414" i="15"/>
  <c r="Q414" i="15" s="1"/>
  <c r="S414" i="15" s="1"/>
  <c r="L414" i="15"/>
  <c r="K414" i="15"/>
  <c r="J414" i="15"/>
  <c r="S413" i="15"/>
  <c r="Q413" i="15"/>
  <c r="O411" i="15"/>
  <c r="Q411" i="15" s="1"/>
  <c r="S411" i="15" s="1"/>
  <c r="M411" i="15"/>
  <c r="Q410" i="15"/>
  <c r="S410" i="15" s="1"/>
  <c r="Q409" i="15"/>
  <c r="S409" i="15" s="1"/>
  <c r="S407" i="15"/>
  <c r="Q407" i="15"/>
  <c r="V406" i="15"/>
  <c r="O406" i="15"/>
  <c r="Q406" i="15" s="1"/>
  <c r="S406" i="15" s="1"/>
  <c r="M406" i="15"/>
  <c r="Q405" i="15"/>
  <c r="S405" i="15" s="1"/>
  <c r="M405" i="15"/>
  <c r="Q404" i="15"/>
  <c r="S404" i="15" s="1"/>
  <c r="M404" i="15"/>
  <c r="J404" i="15"/>
  <c r="J405" i="15" s="1"/>
  <c r="O403" i="15"/>
  <c r="Q403" i="15" s="1"/>
  <c r="S403" i="15" s="1"/>
  <c r="M403" i="15"/>
  <c r="J403" i="15"/>
  <c r="M402" i="15"/>
  <c r="Q402" i="15" s="1"/>
  <c r="S402" i="15" s="1"/>
  <c r="O400" i="15"/>
  <c r="O395" i="15"/>
  <c r="S393" i="15"/>
  <c r="Q393" i="15"/>
  <c r="Q391" i="15"/>
  <c r="S391" i="15" s="1"/>
  <c r="Q390" i="15"/>
  <c r="S390" i="15" s="1"/>
  <c r="Q389" i="15"/>
  <c r="S389" i="15" s="1"/>
  <c r="S387" i="15"/>
  <c r="Q387" i="15"/>
  <c r="O386" i="15"/>
  <c r="Q386" i="15" s="1"/>
  <c r="S386" i="15" s="1"/>
  <c r="O385" i="15"/>
  <c r="Q385" i="15" s="1"/>
  <c r="S385" i="15" s="1"/>
  <c r="Q383" i="15"/>
  <c r="S383" i="15" s="1"/>
  <c r="O382" i="15"/>
  <c r="O381" i="15"/>
  <c r="S379" i="15"/>
  <c r="Q379" i="15"/>
  <c r="O378" i="15"/>
  <c r="M378" i="15"/>
  <c r="J378" i="15"/>
  <c r="J381" i="15" s="1"/>
  <c r="M377" i="15"/>
  <c r="Q375" i="15"/>
  <c r="S375" i="15" s="1"/>
  <c r="S374" i="15"/>
  <c r="Q374" i="15"/>
  <c r="Q373" i="15"/>
  <c r="S373" i="15" s="1"/>
  <c r="O371" i="15"/>
  <c r="O370" i="15"/>
  <c r="O369" i="15"/>
  <c r="O368" i="15"/>
  <c r="Q367" i="15"/>
  <c r="S367" i="15" s="1"/>
  <c r="O364" i="15"/>
  <c r="O362" i="15"/>
  <c r="O361" i="15"/>
  <c r="O360" i="15"/>
  <c r="Q358" i="15"/>
  <c r="S358" i="15" s="1"/>
  <c r="O355" i="15"/>
  <c r="O353" i="15"/>
  <c r="O352" i="15"/>
  <c r="Q351" i="15"/>
  <c r="S351" i="15" s="1"/>
  <c r="O349" i="15"/>
  <c r="O348" i="15"/>
  <c r="I347" i="15"/>
  <c r="O347" i="15" s="1"/>
  <c r="I346" i="15"/>
  <c r="Q345" i="15"/>
  <c r="S345" i="15" s="1"/>
  <c r="O342" i="15"/>
  <c r="O340" i="15"/>
  <c r="O339" i="15"/>
  <c r="I338" i="15"/>
  <c r="O338" i="15" s="1"/>
  <c r="I337" i="15"/>
  <c r="Q336" i="15"/>
  <c r="S336" i="15" s="1"/>
  <c r="Q335" i="15"/>
  <c r="S335" i="15" s="1"/>
  <c r="O333" i="15"/>
  <c r="O331" i="15"/>
  <c r="O330" i="15"/>
  <c r="I329" i="15"/>
  <c r="O329" i="15" s="1"/>
  <c r="I328" i="15"/>
  <c r="Q327" i="15"/>
  <c r="S327" i="15" s="1"/>
  <c r="O324" i="15"/>
  <c r="O322" i="15"/>
  <c r="M322" i="15"/>
  <c r="O321" i="15"/>
  <c r="O320" i="15"/>
  <c r="J320" i="15"/>
  <c r="M320" i="15" s="1"/>
  <c r="O319" i="15"/>
  <c r="M319" i="15"/>
  <c r="M317" i="15"/>
  <c r="M316" i="15"/>
  <c r="O315" i="15"/>
  <c r="O316" i="15" s="1"/>
  <c r="M315" i="15"/>
  <c r="Q315" i="15" s="1"/>
  <c r="S315" i="15" s="1"/>
  <c r="M314" i="15"/>
  <c r="Q314" i="15" s="1"/>
  <c r="S314" i="15" s="1"/>
  <c r="Q313" i="15"/>
  <c r="P310" i="15"/>
  <c r="P311" i="15" s="1"/>
  <c r="P312" i="15" s="1"/>
  <c r="O310" i="15"/>
  <c r="O311" i="15" s="1"/>
  <c r="Q309" i="15"/>
  <c r="S309" i="15" s="1"/>
  <c r="O304" i="15"/>
  <c r="I304" i="15"/>
  <c r="I305" i="15" s="1"/>
  <c r="I300" i="15"/>
  <c r="I301" i="15" s="1"/>
  <c r="O299" i="15"/>
  <c r="O297" i="15"/>
  <c r="O296" i="15"/>
  <c r="O295" i="15"/>
  <c r="O294" i="15"/>
  <c r="O290" i="15"/>
  <c r="I290" i="15"/>
  <c r="I291" i="15" s="1"/>
  <c r="O289" i="15"/>
  <c r="Q278" i="15"/>
  <c r="S278" i="15" s="1"/>
  <c r="S273" i="15"/>
  <c r="Q273" i="15"/>
  <c r="M272" i="15"/>
  <c r="M271" i="15"/>
  <c r="O270" i="15"/>
  <c r="O271" i="15" s="1"/>
  <c r="O272" i="15" s="1"/>
  <c r="M270" i="15"/>
  <c r="Q270" i="15" s="1"/>
  <c r="S270" i="15" s="1"/>
  <c r="M269" i="15"/>
  <c r="Q269" i="15" s="1"/>
  <c r="S269" i="15" s="1"/>
  <c r="Q262" i="15"/>
  <c r="S262" i="15" s="1"/>
  <c r="S261" i="15"/>
  <c r="Q261" i="15"/>
  <c r="Q260" i="15"/>
  <c r="S260" i="15" s="1"/>
  <c r="S259" i="15"/>
  <c r="Q259" i="15"/>
  <c r="Q257" i="15"/>
  <c r="S257" i="15" s="1"/>
  <c r="S256" i="15"/>
  <c r="Q256" i="15"/>
  <c r="S255" i="15"/>
  <c r="Q255" i="15"/>
  <c r="N255" i="15"/>
  <c r="N256" i="15" s="1"/>
  <c r="N257" i="15" s="1"/>
  <c r="S254" i="15"/>
  <c r="Q254" i="15"/>
  <c r="K252" i="15"/>
  <c r="J252" i="15"/>
  <c r="J257" i="15" s="1"/>
  <c r="J262" i="15" s="1"/>
  <c r="J267" i="15" s="1"/>
  <c r="K251" i="15"/>
  <c r="K256" i="15" s="1"/>
  <c r="J251" i="15"/>
  <c r="J256" i="15" s="1"/>
  <c r="J261" i="15" s="1"/>
  <c r="J266" i="15" s="1"/>
  <c r="K250" i="15"/>
  <c r="K255" i="15" s="1"/>
  <c r="J250" i="15"/>
  <c r="J255" i="15" s="1"/>
  <c r="J260" i="15" s="1"/>
  <c r="J265" i="15" s="1"/>
  <c r="M249" i="15"/>
  <c r="K249" i="15"/>
  <c r="K254" i="15" s="1"/>
  <c r="J249" i="15"/>
  <c r="J254" i="15" s="1"/>
  <c r="J259" i="15" s="1"/>
  <c r="J264" i="15" s="1"/>
  <c r="M247" i="15"/>
  <c r="M246" i="15"/>
  <c r="I246" i="15"/>
  <c r="I247" i="15" s="1"/>
  <c r="M245" i="15"/>
  <c r="I245" i="15"/>
  <c r="O245" i="15" s="1"/>
  <c r="Q245" i="15" s="1"/>
  <c r="S245" i="15" s="1"/>
  <c r="O244" i="15"/>
  <c r="Q244" i="15" s="1"/>
  <c r="S244" i="15" s="1"/>
  <c r="M244" i="15"/>
  <c r="O242" i="15"/>
  <c r="J242" i="15"/>
  <c r="M242" i="15" s="1"/>
  <c r="M240" i="15"/>
  <c r="Q239" i="15"/>
  <c r="S239" i="15" s="1"/>
  <c r="K235" i="15"/>
  <c r="K236" i="15" s="1"/>
  <c r="M236" i="15" s="1"/>
  <c r="Q236" i="15" s="1"/>
  <c r="S236" i="15" s="1"/>
  <c r="J235" i="15"/>
  <c r="J236" i="15" s="1"/>
  <c r="I235" i="15"/>
  <c r="I236" i="15" s="1"/>
  <c r="M234" i="15"/>
  <c r="Q234" i="15" s="1"/>
  <c r="S234" i="15" s="1"/>
  <c r="Q233" i="15"/>
  <c r="S233" i="15" s="1"/>
  <c r="Q231" i="15"/>
  <c r="S231" i="15" s="1"/>
  <c r="S230" i="15"/>
  <c r="Q230" i="15"/>
  <c r="Q229" i="15"/>
  <c r="S229" i="15" s="1"/>
  <c r="K227" i="15"/>
  <c r="K228" i="15" s="1"/>
  <c r="J227" i="15"/>
  <c r="M227" i="15" s="1"/>
  <c r="I227" i="15"/>
  <c r="O227" i="15" s="1"/>
  <c r="O226" i="15"/>
  <c r="Q226" i="15" s="1"/>
  <c r="S226" i="15" s="1"/>
  <c r="M226" i="15"/>
  <c r="S224" i="15"/>
  <c r="Q224" i="15"/>
  <c r="Q223" i="15"/>
  <c r="S223" i="15" s="1"/>
  <c r="S222" i="15"/>
  <c r="Q222" i="15"/>
  <c r="Q221" i="15"/>
  <c r="S221" i="15" s="1"/>
  <c r="M221" i="15"/>
  <c r="J221" i="15"/>
  <c r="J222" i="15" s="1"/>
  <c r="J223" i="15" s="1"/>
  <c r="J224" i="15" s="1"/>
  <c r="O220" i="15"/>
  <c r="M220" i="15"/>
  <c r="J220" i="15"/>
  <c r="O219" i="15"/>
  <c r="M219" i="15"/>
  <c r="O217" i="15"/>
  <c r="M217" i="15"/>
  <c r="Q217" i="15" s="1"/>
  <c r="S217" i="15" s="1"/>
  <c r="Q216" i="15"/>
  <c r="S216" i="15" s="1"/>
  <c r="M216" i="15"/>
  <c r="M215" i="15"/>
  <c r="Q215" i="15" s="1"/>
  <c r="S215" i="15" s="1"/>
  <c r="Q214" i="15"/>
  <c r="S214" i="15" s="1"/>
  <c r="M214" i="15"/>
  <c r="Q212" i="15"/>
  <c r="S212" i="15" s="1"/>
  <c r="M212" i="15"/>
  <c r="M211" i="15"/>
  <c r="Q211" i="15" s="1"/>
  <c r="S211" i="15" s="1"/>
  <c r="Q210" i="15"/>
  <c r="S210" i="15" s="1"/>
  <c r="M210" i="15"/>
  <c r="M209" i="15"/>
  <c r="Q209" i="15" s="1"/>
  <c r="S209" i="15" s="1"/>
  <c r="O207" i="15"/>
  <c r="M207" i="15"/>
  <c r="Q207" i="15" s="1"/>
  <c r="S207" i="15" s="1"/>
  <c r="S206" i="15"/>
  <c r="Q206" i="15"/>
  <c r="Q204" i="15"/>
  <c r="S204" i="15" s="1"/>
  <c r="M202" i="15"/>
  <c r="Q202" i="15" s="1"/>
  <c r="S202" i="15" s="1"/>
  <c r="Q201" i="15"/>
  <c r="S201" i="15" s="1"/>
  <c r="M201" i="15"/>
  <c r="Q199" i="15"/>
  <c r="S199" i="15" s="1"/>
  <c r="Q198" i="15"/>
  <c r="S198" i="15" s="1"/>
  <c r="Q197" i="15"/>
  <c r="S197" i="15" s="1"/>
  <c r="S195" i="15"/>
  <c r="Q195" i="15"/>
  <c r="S194" i="15"/>
  <c r="Q194" i="15"/>
  <c r="S193" i="15"/>
  <c r="Q193" i="15"/>
  <c r="S192" i="15"/>
  <c r="Q192" i="15"/>
  <c r="M191" i="15"/>
  <c r="Q191" i="15" s="1"/>
  <c r="S191" i="15" s="1"/>
  <c r="O189" i="15"/>
  <c r="M189" i="15"/>
  <c r="Q189" i="15" s="1"/>
  <c r="S189" i="15" s="1"/>
  <c r="S188" i="15"/>
  <c r="Q188" i="15"/>
  <c r="Q186" i="15"/>
  <c r="S186" i="15" s="1"/>
  <c r="S184" i="15"/>
  <c r="Q184" i="15"/>
  <c r="M183" i="15"/>
  <c r="Q183" i="15" s="1"/>
  <c r="S183" i="15" s="1"/>
  <c r="S181" i="15"/>
  <c r="Q181" i="15"/>
  <c r="S180" i="15"/>
  <c r="Q180" i="15"/>
  <c r="M179" i="15"/>
  <c r="Q179" i="15" s="1"/>
  <c r="S179" i="15" s="1"/>
  <c r="Q176" i="15"/>
  <c r="S176" i="15" s="1"/>
  <c r="M176" i="15"/>
  <c r="M175" i="15"/>
  <c r="Q175" i="15" s="1"/>
  <c r="S175" i="15" s="1"/>
  <c r="Q174" i="15"/>
  <c r="S174" i="15" s="1"/>
  <c r="M174" i="15"/>
  <c r="M173" i="15"/>
  <c r="Q173" i="15" s="1"/>
  <c r="S173" i="15" s="1"/>
  <c r="M171" i="15"/>
  <c r="Q171" i="15" s="1"/>
  <c r="S171" i="15" s="1"/>
  <c r="Q170" i="15"/>
  <c r="S170" i="15" s="1"/>
  <c r="M170" i="15"/>
  <c r="Q168" i="15"/>
  <c r="S168" i="15" s="1"/>
  <c r="M168" i="15"/>
  <c r="M167" i="15"/>
  <c r="Q167" i="15" s="1"/>
  <c r="S167" i="15" s="1"/>
  <c r="Q166" i="15"/>
  <c r="S166" i="15" s="1"/>
  <c r="M166" i="15"/>
  <c r="S165" i="15"/>
  <c r="Q165" i="15"/>
  <c r="Q163" i="15"/>
  <c r="S163" i="15" s="1"/>
  <c r="M163" i="15"/>
  <c r="M162" i="15"/>
  <c r="Q162" i="15" s="1"/>
  <c r="S162" i="15" s="1"/>
  <c r="Q161" i="15"/>
  <c r="S161" i="15" s="1"/>
  <c r="M161" i="15"/>
  <c r="S160" i="15"/>
  <c r="Q160" i="15"/>
  <c r="Q158" i="15"/>
  <c r="S158" i="15" s="1"/>
  <c r="M158" i="15"/>
  <c r="M157" i="15"/>
  <c r="Q157" i="15" s="1"/>
  <c r="S157" i="15" s="1"/>
  <c r="Q156" i="15"/>
  <c r="S156" i="15" s="1"/>
  <c r="M156" i="15"/>
  <c r="M155" i="15"/>
  <c r="Q155" i="15" s="1"/>
  <c r="S155" i="15" s="1"/>
  <c r="Q154" i="15"/>
  <c r="S154" i="15" s="1"/>
  <c r="M154" i="15"/>
  <c r="M153" i="15"/>
  <c r="Q153" i="15" s="1"/>
  <c r="S153" i="15" s="1"/>
  <c r="Q152" i="15"/>
  <c r="S152" i="15" s="1"/>
  <c r="M152" i="15"/>
  <c r="M151" i="15"/>
  <c r="Q151" i="15" s="1"/>
  <c r="S151" i="15" s="1"/>
  <c r="Q150" i="15"/>
  <c r="S150" i="15" s="1"/>
  <c r="M150" i="15"/>
  <c r="M149" i="15"/>
  <c r="Q149" i="15" s="1"/>
  <c r="S149" i="15" s="1"/>
  <c r="Q148" i="15"/>
  <c r="S148" i="15" s="1"/>
  <c r="M148" i="15"/>
  <c r="M147" i="15"/>
  <c r="Q147" i="15" s="1"/>
  <c r="S147" i="15" s="1"/>
  <c r="Q146" i="15"/>
  <c r="S146" i="15" s="1"/>
  <c r="Q145" i="15"/>
  <c r="S145" i="15" s="1"/>
  <c r="Q142" i="15"/>
  <c r="S142" i="15" s="1"/>
  <c r="O141" i="15"/>
  <c r="Q141" i="15" s="1"/>
  <c r="S141" i="15" s="1"/>
  <c r="S140" i="15"/>
  <c r="Q140" i="15"/>
  <c r="O138" i="15"/>
  <c r="M137" i="15"/>
  <c r="K137" i="15"/>
  <c r="J137" i="15"/>
  <c r="I137" i="15"/>
  <c r="O137" i="15" s="1"/>
  <c r="M136" i="15"/>
  <c r="Q136" i="15" s="1"/>
  <c r="S136" i="15" s="1"/>
  <c r="K136" i="15"/>
  <c r="J136" i="15"/>
  <c r="M135" i="15"/>
  <c r="M138" i="15" s="1"/>
  <c r="K135" i="15"/>
  <c r="J135" i="15"/>
  <c r="I135" i="15"/>
  <c r="M133" i="15"/>
  <c r="Q133" i="15" s="1"/>
  <c r="S133" i="15" s="1"/>
  <c r="M132" i="15"/>
  <c r="Q132" i="15" s="1"/>
  <c r="S132" i="15" s="1"/>
  <c r="I132" i="15"/>
  <c r="I136" i="15" s="1"/>
  <c r="S131" i="15"/>
  <c r="M131" i="15"/>
  <c r="Q131" i="15" s="1"/>
  <c r="Q130" i="15"/>
  <c r="S130" i="15" s="1"/>
  <c r="Q127" i="15"/>
  <c r="S127" i="15" s="1"/>
  <c r="Q126" i="15"/>
  <c r="S126" i="15" s="1"/>
  <c r="M126" i="15"/>
  <c r="M125" i="15"/>
  <c r="Q125" i="15" s="1"/>
  <c r="S125" i="15" s="1"/>
  <c r="S123" i="15"/>
  <c r="Q123" i="15"/>
  <c r="S122" i="15"/>
  <c r="Q122" i="15"/>
  <c r="S121" i="15"/>
  <c r="Q121" i="15"/>
  <c r="S119" i="15"/>
  <c r="Q119" i="15"/>
  <c r="Q118" i="15"/>
  <c r="S118" i="15" s="1"/>
  <c r="S117" i="15"/>
  <c r="Q117" i="15"/>
  <c r="I117" i="15"/>
  <c r="S115" i="15"/>
  <c r="Q115" i="15"/>
  <c r="S114" i="15"/>
  <c r="Q114" i="15"/>
  <c r="O113" i="15"/>
  <c r="M113" i="15"/>
  <c r="Q113" i="15" s="1"/>
  <c r="S113" i="15" s="1"/>
  <c r="S111" i="15"/>
  <c r="Q111" i="15"/>
  <c r="S110" i="15"/>
  <c r="Q110" i="15"/>
  <c r="I110" i="15"/>
  <c r="I122" i="15" s="1"/>
  <c r="Q109" i="15"/>
  <c r="S109" i="15" s="1"/>
  <c r="I109" i="15"/>
  <c r="I121" i="15" s="1"/>
  <c r="Q107" i="15"/>
  <c r="S107" i="15" s="1"/>
  <c r="S106" i="15"/>
  <c r="Q106" i="15"/>
  <c r="K106" i="15"/>
  <c r="K107" i="15" s="1"/>
  <c r="I106" i="15"/>
  <c r="I118" i="15" s="1"/>
  <c r="S105" i="15"/>
  <c r="Q105" i="15"/>
  <c r="K105" i="15"/>
  <c r="I105" i="15"/>
  <c r="K102" i="15"/>
  <c r="K103" i="15" s="1"/>
  <c r="M103" i="15" s="1"/>
  <c r="Q103" i="15" s="1"/>
  <c r="S103" i="15" s="1"/>
  <c r="I102" i="15"/>
  <c r="I114" i="15" s="1"/>
  <c r="K101" i="15"/>
  <c r="M101" i="15" s="1"/>
  <c r="Q101" i="15" s="1"/>
  <c r="S101" i="15" s="1"/>
  <c r="I101" i="15"/>
  <c r="M99" i="15"/>
  <c r="Q99" i="15" s="1"/>
  <c r="S99" i="15" s="1"/>
  <c r="K99" i="15"/>
  <c r="M98" i="15"/>
  <c r="Q98" i="15" s="1"/>
  <c r="S98" i="15" s="1"/>
  <c r="M97" i="15"/>
  <c r="Q97" i="15" s="1"/>
  <c r="S97" i="15" s="1"/>
  <c r="Q95" i="15"/>
  <c r="S95" i="15" s="1"/>
  <c r="M94" i="15"/>
  <c r="Q94" i="15" s="1"/>
  <c r="S94" i="15" s="1"/>
  <c r="M93" i="15"/>
  <c r="Q93" i="15" s="1"/>
  <c r="S93" i="15" s="1"/>
  <c r="Q91" i="15"/>
  <c r="S91" i="15" s="1"/>
  <c r="Q90" i="15"/>
  <c r="S90" i="15" s="1"/>
  <c r="Q89" i="15"/>
  <c r="S89" i="15" s="1"/>
  <c r="Q87" i="15"/>
  <c r="S87" i="15" s="1"/>
  <c r="Q86" i="15"/>
  <c r="S86" i="15" s="1"/>
  <c r="S85" i="15"/>
  <c r="Q85" i="15"/>
  <c r="S83" i="15"/>
  <c r="Q83" i="15"/>
  <c r="S82" i="15"/>
  <c r="Q82" i="15"/>
  <c r="O81" i="15"/>
  <c r="M81" i="15"/>
  <c r="Q81" i="15" s="1"/>
  <c r="S81" i="15" s="1"/>
  <c r="Q79" i="15"/>
  <c r="S79" i="15" s="1"/>
  <c r="Q78" i="15"/>
  <c r="S78" i="15" s="1"/>
  <c r="I78" i="15"/>
  <c r="I90" i="15" s="1"/>
  <c r="Q77" i="15"/>
  <c r="S77" i="15" s="1"/>
  <c r="I77" i="15"/>
  <c r="I89" i="15" s="1"/>
  <c r="Q75" i="15"/>
  <c r="S75" i="15" s="1"/>
  <c r="S74" i="15"/>
  <c r="Q74" i="15"/>
  <c r="K74" i="15"/>
  <c r="K75" i="15" s="1"/>
  <c r="I74" i="15"/>
  <c r="I86" i="15" s="1"/>
  <c r="Q73" i="15"/>
  <c r="S73" i="15" s="1"/>
  <c r="K73" i="15"/>
  <c r="I73" i="15"/>
  <c r="I85" i="15" s="1"/>
  <c r="K70" i="15"/>
  <c r="K71" i="15" s="1"/>
  <c r="M71" i="15" s="1"/>
  <c r="Q71" i="15" s="1"/>
  <c r="S71" i="15" s="1"/>
  <c r="I70" i="15"/>
  <c r="I82" i="15" s="1"/>
  <c r="K69" i="15"/>
  <c r="M69" i="15" s="1"/>
  <c r="Q69" i="15" s="1"/>
  <c r="S69" i="15" s="1"/>
  <c r="I69" i="15"/>
  <c r="M67" i="15"/>
  <c r="Q67" i="15" s="1"/>
  <c r="S67" i="15" s="1"/>
  <c r="K67" i="15"/>
  <c r="S66" i="15"/>
  <c r="Q66" i="15"/>
  <c r="M66" i="15"/>
  <c r="M65" i="15"/>
  <c r="Q65" i="15" s="1"/>
  <c r="S65" i="15" s="1"/>
  <c r="S62" i="15"/>
  <c r="Q62" i="15"/>
  <c r="O62" i="15"/>
  <c r="O61" i="15"/>
  <c r="M61" i="15"/>
  <c r="Q61" i="15" s="1"/>
  <c r="S61" i="15" s="1"/>
  <c r="J61" i="15"/>
  <c r="I61" i="15"/>
  <c r="S60" i="15"/>
  <c r="Q60" i="15"/>
  <c r="I60" i="15"/>
  <c r="Q59" i="15"/>
  <c r="S59" i="15" s="1"/>
  <c r="I59" i="15"/>
  <c r="O58" i="15"/>
  <c r="J58" i="15"/>
  <c r="M58" i="15" s="1"/>
  <c r="Q58" i="15" s="1"/>
  <c r="S58" i="15" s="1"/>
  <c r="I58" i="15"/>
  <c r="O57" i="15"/>
  <c r="I57" i="15"/>
  <c r="M57" i="15" s="1"/>
  <c r="Q57" i="15" s="1"/>
  <c r="S57" i="15" s="1"/>
  <c r="S55" i="15"/>
  <c r="Q55" i="15"/>
  <c r="I55" i="15"/>
  <c r="S54" i="15"/>
  <c r="Q54" i="15"/>
  <c r="O51" i="15"/>
  <c r="M51" i="15"/>
  <c r="Q51" i="15" s="1"/>
  <c r="S51" i="15" s="1"/>
  <c r="J51" i="15"/>
  <c r="I51" i="15"/>
  <c r="Q50" i="15"/>
  <c r="S50" i="15" s="1"/>
  <c r="I50" i="15"/>
  <c r="Q49" i="15"/>
  <c r="S49" i="15" s="1"/>
  <c r="I49" i="15"/>
  <c r="O48" i="15"/>
  <c r="J48" i="15"/>
  <c r="M48" i="15" s="1"/>
  <c r="Q48" i="15" s="1"/>
  <c r="S48" i="15" s="1"/>
  <c r="I48" i="15"/>
  <c r="O47" i="15"/>
  <c r="I47" i="15"/>
  <c r="M47" i="15" s="1"/>
  <c r="Q47" i="15" s="1"/>
  <c r="S47" i="15" s="1"/>
  <c r="Q45" i="15"/>
  <c r="S45" i="15" s="1"/>
  <c r="I45" i="15"/>
  <c r="Q44" i="15"/>
  <c r="S44" i="15" s="1"/>
  <c r="O41" i="15"/>
  <c r="O40" i="15"/>
  <c r="M40" i="15"/>
  <c r="J40" i="15"/>
  <c r="J41" i="15" s="1"/>
  <c r="M41" i="15" s="1"/>
  <c r="O39" i="15"/>
  <c r="M39" i="15"/>
  <c r="Q38" i="15"/>
  <c r="S38" i="15" s="1"/>
  <c r="S37" i="15"/>
  <c r="Q37" i="15"/>
  <c r="S36" i="15"/>
  <c r="Q36" i="15"/>
  <c r="Q35" i="15"/>
  <c r="S35" i="15" s="1"/>
  <c r="Q34" i="15"/>
  <c r="S34" i="15" s="1"/>
  <c r="S33" i="15"/>
  <c r="Q33" i="15"/>
  <c r="S32" i="15"/>
  <c r="Q32" i="15"/>
  <c r="J32" i="15"/>
  <c r="J33" i="15" s="1"/>
  <c r="J34" i="15" s="1"/>
  <c r="J35" i="15" s="1"/>
  <c r="J36" i="15" s="1"/>
  <c r="J37" i="15" s="1"/>
  <c r="J38" i="15" s="1"/>
  <c r="Q31" i="15"/>
  <c r="S31" i="15" s="1"/>
  <c r="O30" i="15"/>
  <c r="M30" i="15"/>
  <c r="J30" i="15"/>
  <c r="S29" i="15"/>
  <c r="O28" i="15"/>
  <c r="Q28" i="15" s="1"/>
  <c r="S28" i="15" s="1"/>
  <c r="M28" i="15"/>
  <c r="Q27" i="15"/>
  <c r="S27" i="15" s="1"/>
  <c r="D3" i="15"/>
  <c r="F238" i="15" s="1"/>
  <c r="D2" i="15"/>
  <c r="C2" i="15"/>
  <c r="C1" i="15"/>
  <c r="Q1288" i="20"/>
  <c r="S1288" i="20" s="1"/>
  <c r="U1288" i="20" s="1"/>
  <c r="Q1287" i="20"/>
  <c r="S1287" i="20" s="1"/>
  <c r="U1287" i="20" s="1"/>
  <c r="S1286" i="20"/>
  <c r="U1286" i="20" s="1"/>
  <c r="Q1286" i="20"/>
  <c r="Q1284" i="20"/>
  <c r="S1284" i="20" s="1"/>
  <c r="U1284" i="20" s="1"/>
  <c r="S1282" i="20"/>
  <c r="U1282" i="20" s="1"/>
  <c r="Q1282" i="20"/>
  <c r="Q1281" i="20"/>
  <c r="S1281" i="20" s="1"/>
  <c r="U1281" i="20" s="1"/>
  <c r="S1280" i="20"/>
  <c r="U1280" i="20" s="1"/>
  <c r="Q1280" i="20"/>
  <c r="Q1279" i="20"/>
  <c r="S1279" i="20" s="1"/>
  <c r="U1279" i="20" s="1"/>
  <c r="S1278" i="20"/>
  <c r="U1278" i="20" s="1"/>
  <c r="Q1278" i="20"/>
  <c r="Q1276" i="20"/>
  <c r="S1276" i="20" s="1"/>
  <c r="U1276" i="20" s="1"/>
  <c r="S1275" i="20"/>
  <c r="U1275" i="20" s="1"/>
  <c r="Q1275" i="20"/>
  <c r="Q1274" i="20"/>
  <c r="S1274" i="20" s="1"/>
  <c r="U1274" i="20" s="1"/>
  <c r="S1273" i="20"/>
  <c r="U1273" i="20" s="1"/>
  <c r="Q1273" i="20"/>
  <c r="Q1272" i="20"/>
  <c r="S1272" i="20" s="1"/>
  <c r="U1272" i="20" s="1"/>
  <c r="S1271" i="20"/>
  <c r="U1271" i="20" s="1"/>
  <c r="Q1271" i="20"/>
  <c r="S1269" i="20"/>
  <c r="U1269" i="20" s="1"/>
  <c r="Q1269" i="20"/>
  <c r="S1268" i="20"/>
  <c r="U1268" i="20" s="1"/>
  <c r="Q1268" i="20"/>
  <c r="J1268" i="20"/>
  <c r="J1269" i="20" s="1"/>
  <c r="S1267" i="20"/>
  <c r="U1267" i="20" s="1"/>
  <c r="Q1267" i="20"/>
  <c r="S1264" i="20"/>
  <c r="U1264" i="20" s="1"/>
  <c r="Q1264" i="20"/>
  <c r="Q1263" i="20"/>
  <c r="S1263" i="20" s="1"/>
  <c r="U1263" i="20" s="1"/>
  <c r="O1263" i="20"/>
  <c r="M1263" i="20"/>
  <c r="S1262" i="20"/>
  <c r="U1262" i="20" s="1"/>
  <c r="Q1262" i="20"/>
  <c r="Q1261" i="20"/>
  <c r="S1261" i="20" s="1"/>
  <c r="U1261" i="20" s="1"/>
  <c r="O1261" i="20"/>
  <c r="M1261" i="20"/>
  <c r="S1259" i="20"/>
  <c r="U1259" i="20" s="1"/>
  <c r="Q1259" i="20"/>
  <c r="O1258" i="20"/>
  <c r="M1258" i="20"/>
  <c r="Q1258" i="20" s="1"/>
  <c r="S1258" i="20" s="1"/>
  <c r="U1258" i="20" s="1"/>
  <c r="S1257" i="20"/>
  <c r="U1257" i="20" s="1"/>
  <c r="Q1257" i="20"/>
  <c r="O1256" i="20"/>
  <c r="M1256" i="20"/>
  <c r="Q1256" i="20" s="1"/>
  <c r="S1256" i="20" s="1"/>
  <c r="U1256" i="20" s="1"/>
  <c r="S1254" i="20"/>
  <c r="U1254" i="20" s="1"/>
  <c r="Q1254" i="20"/>
  <c r="Q1253" i="20"/>
  <c r="S1253" i="20" s="1"/>
  <c r="U1253" i="20" s="1"/>
  <c r="S1252" i="20"/>
  <c r="U1252" i="20" s="1"/>
  <c r="Q1252" i="20"/>
  <c r="Q1250" i="20"/>
  <c r="S1250" i="20" s="1"/>
  <c r="U1250" i="20" s="1"/>
  <c r="O1250" i="20"/>
  <c r="M1250" i="20"/>
  <c r="O1249" i="20"/>
  <c r="M1249" i="20"/>
  <c r="Q1249" i="20" s="1"/>
  <c r="S1249" i="20" s="1"/>
  <c r="U1249" i="20" s="1"/>
  <c r="O1248" i="20"/>
  <c r="M1248" i="20"/>
  <c r="Q1248" i="20" s="1"/>
  <c r="S1248" i="20" s="1"/>
  <c r="U1248" i="20" s="1"/>
  <c r="O1247" i="20"/>
  <c r="Q1247" i="20" s="1"/>
  <c r="S1247" i="20" s="1"/>
  <c r="U1247" i="20" s="1"/>
  <c r="M1247" i="20"/>
  <c r="Q1245" i="20"/>
  <c r="S1245" i="20" s="1"/>
  <c r="U1245" i="20" s="1"/>
  <c r="O1245" i="20"/>
  <c r="Q1244" i="20"/>
  <c r="S1244" i="20" s="1"/>
  <c r="U1244" i="20" s="1"/>
  <c r="S1243" i="20"/>
  <c r="U1243" i="20" s="1"/>
  <c r="Q1243" i="20"/>
  <c r="O1241" i="20"/>
  <c r="Q1241" i="20" s="1"/>
  <c r="S1241" i="20" s="1"/>
  <c r="U1241" i="20" s="1"/>
  <c r="M1241" i="20"/>
  <c r="J1241" i="20"/>
  <c r="Q1240" i="20"/>
  <c r="S1240" i="20" s="1"/>
  <c r="U1240" i="20" s="1"/>
  <c r="M1240" i="20"/>
  <c r="Q1239" i="20"/>
  <c r="S1239" i="20" s="1"/>
  <c r="U1239" i="20" s="1"/>
  <c r="O1237" i="20"/>
  <c r="Q1237" i="20" s="1"/>
  <c r="S1237" i="20" s="1"/>
  <c r="U1237" i="20" s="1"/>
  <c r="M1237" i="20"/>
  <c r="J1237" i="20"/>
  <c r="M1236" i="20"/>
  <c r="Q1236" i="20" s="1"/>
  <c r="S1236" i="20" s="1"/>
  <c r="U1236" i="20" s="1"/>
  <c r="O1235" i="20"/>
  <c r="M1235" i="20"/>
  <c r="Q1235" i="20" s="1"/>
  <c r="S1235" i="20" s="1"/>
  <c r="U1235" i="20" s="1"/>
  <c r="Q1233" i="20"/>
  <c r="S1233" i="20" s="1"/>
  <c r="U1233" i="20" s="1"/>
  <c r="S1232" i="20"/>
  <c r="U1232" i="20" s="1"/>
  <c r="Q1232" i="20"/>
  <c r="S1229" i="20"/>
  <c r="U1229" i="20" s="1"/>
  <c r="Q1229" i="20"/>
  <c r="S1228" i="20"/>
  <c r="U1228" i="20" s="1"/>
  <c r="Q1228" i="20"/>
  <c r="S1227" i="20"/>
  <c r="U1227" i="20" s="1"/>
  <c r="Q1227" i="20"/>
  <c r="S1226" i="20"/>
  <c r="U1226" i="20" s="1"/>
  <c r="Q1226" i="20"/>
  <c r="S1225" i="20"/>
  <c r="U1225" i="20" s="1"/>
  <c r="Q1225" i="20"/>
  <c r="S1223" i="20"/>
  <c r="U1223" i="20" s="1"/>
  <c r="Q1223" i="20"/>
  <c r="S1222" i="20"/>
  <c r="U1222" i="20" s="1"/>
  <c r="Q1222" i="20"/>
  <c r="J1222" i="20"/>
  <c r="J1223" i="20" s="1"/>
  <c r="O1221" i="20"/>
  <c r="Q1221" i="20" s="1"/>
  <c r="S1221" i="20" s="1"/>
  <c r="U1221" i="20" s="1"/>
  <c r="M1221" i="20"/>
  <c r="Q1220" i="20"/>
  <c r="S1220" i="20" s="1"/>
  <c r="U1220" i="20" s="1"/>
  <c r="O1219" i="20"/>
  <c r="I1217" i="20"/>
  <c r="O1217" i="20" s="1"/>
  <c r="O1215" i="20"/>
  <c r="S1212" i="20"/>
  <c r="U1212" i="20" s="1"/>
  <c r="Q1212" i="20"/>
  <c r="J1212" i="20"/>
  <c r="S1210" i="20"/>
  <c r="U1210" i="20" s="1"/>
  <c r="Q1210" i="20"/>
  <c r="J1210" i="20"/>
  <c r="J1213" i="20" s="1"/>
  <c r="Q1209" i="20"/>
  <c r="S1209" i="20" s="1"/>
  <c r="U1209" i="20" s="1"/>
  <c r="J1209" i="20"/>
  <c r="I1209" i="20"/>
  <c r="M1207" i="20"/>
  <c r="I1207" i="20"/>
  <c r="I1210" i="20" s="1"/>
  <c r="O1206" i="20"/>
  <c r="M1206" i="20"/>
  <c r="Q1205" i="20"/>
  <c r="S1205" i="20" s="1"/>
  <c r="U1205" i="20" s="1"/>
  <c r="O1204" i="20"/>
  <c r="M1204" i="20"/>
  <c r="Q1203" i="20"/>
  <c r="S1203" i="20" s="1"/>
  <c r="U1203" i="20" s="1"/>
  <c r="F1202" i="20"/>
  <c r="Q1200" i="20"/>
  <c r="S1200" i="20" s="1"/>
  <c r="U1200" i="20" s="1"/>
  <c r="O1199" i="20"/>
  <c r="Q1199" i="20" s="1"/>
  <c r="S1199" i="20" s="1"/>
  <c r="U1199" i="20" s="1"/>
  <c r="O1197" i="20"/>
  <c r="O1196" i="20"/>
  <c r="S1195" i="20"/>
  <c r="U1195" i="20" s="1"/>
  <c r="Q1195" i="20"/>
  <c r="O1194" i="20"/>
  <c r="J1194" i="20"/>
  <c r="M1194" i="20" s="1"/>
  <c r="O1193" i="20"/>
  <c r="M1193" i="20"/>
  <c r="Q1192" i="20"/>
  <c r="S1192" i="20" s="1"/>
  <c r="U1192" i="20" s="1"/>
  <c r="U1190" i="20"/>
  <c r="S1190" i="20"/>
  <c r="Q1190" i="20"/>
  <c r="Q1189" i="20"/>
  <c r="S1189" i="20" s="1"/>
  <c r="U1189" i="20" s="1"/>
  <c r="J1189" i="20"/>
  <c r="O1187" i="20"/>
  <c r="Q1187" i="20" s="1"/>
  <c r="S1187" i="20" s="1"/>
  <c r="U1187" i="20" s="1"/>
  <c r="J1187" i="20"/>
  <c r="J1190" i="20" s="1"/>
  <c r="O1186" i="20"/>
  <c r="Q1186" i="20" s="1"/>
  <c r="S1186" i="20" s="1"/>
  <c r="U1186" i="20" s="1"/>
  <c r="Q1184" i="20"/>
  <c r="S1184" i="20" s="1"/>
  <c r="U1184" i="20" s="1"/>
  <c r="Q1183" i="20"/>
  <c r="S1183" i="20" s="1"/>
  <c r="U1183" i="20" s="1"/>
  <c r="Q1181" i="20"/>
  <c r="S1181" i="20" s="1"/>
  <c r="U1181" i="20" s="1"/>
  <c r="Q1180" i="20"/>
  <c r="S1180" i="20" s="1"/>
  <c r="U1180" i="20" s="1"/>
  <c r="Q1178" i="20"/>
  <c r="S1178" i="20" s="1"/>
  <c r="U1178" i="20" s="1"/>
  <c r="S1177" i="20"/>
  <c r="U1177" i="20" s="1"/>
  <c r="Q1177" i="20"/>
  <c r="S1175" i="20"/>
  <c r="U1175" i="20" s="1"/>
  <c r="Q1175" i="20"/>
  <c r="L1175" i="20"/>
  <c r="K1175" i="20"/>
  <c r="I1175" i="20"/>
  <c r="O1173" i="20"/>
  <c r="O1172" i="20"/>
  <c r="O1171" i="20"/>
  <c r="O1170" i="20"/>
  <c r="Q1169" i="20"/>
  <c r="S1169" i="20" s="1"/>
  <c r="U1169" i="20" s="1"/>
  <c r="O1165" i="20"/>
  <c r="O1164" i="20"/>
  <c r="Q1163" i="20"/>
  <c r="O1162" i="20"/>
  <c r="O1161" i="20"/>
  <c r="O1160" i="20"/>
  <c r="O1159" i="20"/>
  <c r="Q1158" i="20"/>
  <c r="S1158" i="20" s="1"/>
  <c r="U1158" i="20" s="1"/>
  <c r="O1155" i="20"/>
  <c r="O1154" i="20"/>
  <c r="U1152" i="20"/>
  <c r="S1152" i="20"/>
  <c r="Q1152" i="20"/>
  <c r="M1152" i="20"/>
  <c r="L1152" i="20"/>
  <c r="K1152" i="20"/>
  <c r="I1152" i="20"/>
  <c r="Q1150" i="20"/>
  <c r="S1150" i="20" s="1"/>
  <c r="U1150" i="20" s="1"/>
  <c r="O1149" i="20"/>
  <c r="O1148" i="20"/>
  <c r="O1147" i="20"/>
  <c r="O1146" i="20"/>
  <c r="Q1145" i="20"/>
  <c r="S1145" i="20" s="1"/>
  <c r="U1145" i="20" s="1"/>
  <c r="Q1140" i="20"/>
  <c r="S1140" i="20" s="1"/>
  <c r="U1140" i="20" s="1"/>
  <c r="I1139" i="20"/>
  <c r="O1139" i="20" s="1"/>
  <c r="J1138" i="20"/>
  <c r="J1139" i="20" s="1"/>
  <c r="I1138" i="20"/>
  <c r="O1138" i="20" s="1"/>
  <c r="Q1137" i="20"/>
  <c r="S1137" i="20" s="1"/>
  <c r="U1137" i="20" s="1"/>
  <c r="I1137" i="20"/>
  <c r="O1135" i="20"/>
  <c r="O1134" i="20"/>
  <c r="O1133" i="20"/>
  <c r="O1132" i="20"/>
  <c r="M1132" i="20"/>
  <c r="J1132" i="20"/>
  <c r="J1133" i="20" s="1"/>
  <c r="O1131" i="20"/>
  <c r="M1131" i="20"/>
  <c r="M1130" i="20"/>
  <c r="Q1129" i="20"/>
  <c r="S1129" i="20" s="1"/>
  <c r="U1129" i="20" s="1"/>
  <c r="Q1127" i="20"/>
  <c r="S1127" i="20" s="1"/>
  <c r="U1127" i="20" s="1"/>
  <c r="Q1126" i="20"/>
  <c r="S1126" i="20" s="1"/>
  <c r="U1126" i="20" s="1"/>
  <c r="O1124" i="20"/>
  <c r="M1124" i="20"/>
  <c r="U1123" i="20"/>
  <c r="S1123" i="20"/>
  <c r="Q1123" i="20"/>
  <c r="Q1122" i="20"/>
  <c r="S1122" i="20" s="1"/>
  <c r="U1122" i="20" s="1"/>
  <c r="O1120" i="20"/>
  <c r="M1120" i="20"/>
  <c r="O1119" i="20"/>
  <c r="Q1119" i="20" s="1"/>
  <c r="S1119" i="20" s="1"/>
  <c r="U1119" i="20" s="1"/>
  <c r="M1119" i="20"/>
  <c r="U1117" i="20"/>
  <c r="S1117" i="20"/>
  <c r="Q1117" i="20"/>
  <c r="M1116" i="20"/>
  <c r="Q1116" i="20" s="1"/>
  <c r="S1116" i="20" s="1"/>
  <c r="U1116" i="20" s="1"/>
  <c r="M1114" i="20"/>
  <c r="Q1114" i="20" s="1"/>
  <c r="S1114" i="20" s="1"/>
  <c r="U1114" i="20" s="1"/>
  <c r="O1113" i="20"/>
  <c r="Q1113" i="20" s="1"/>
  <c r="S1113" i="20" s="1"/>
  <c r="U1113" i="20" s="1"/>
  <c r="M1113" i="20"/>
  <c r="O1112" i="20"/>
  <c r="Q1112" i="20" s="1"/>
  <c r="S1112" i="20" s="1"/>
  <c r="U1112" i="20" s="1"/>
  <c r="O1111" i="20"/>
  <c r="M1111" i="20"/>
  <c r="O1110" i="20"/>
  <c r="Q1110" i="20" s="1"/>
  <c r="S1110" i="20" s="1"/>
  <c r="U1110" i="20" s="1"/>
  <c r="M1110" i="20"/>
  <c r="Q1109" i="20"/>
  <c r="S1109" i="20" s="1"/>
  <c r="U1109" i="20" s="1"/>
  <c r="O1108" i="20"/>
  <c r="Q1108" i="20" s="1"/>
  <c r="S1108" i="20" s="1"/>
  <c r="U1108" i="20" s="1"/>
  <c r="M1108" i="20"/>
  <c r="O1107" i="20"/>
  <c r="Q1107" i="20" s="1"/>
  <c r="S1107" i="20" s="1"/>
  <c r="U1107" i="20" s="1"/>
  <c r="M1107" i="20"/>
  <c r="Q1106" i="20"/>
  <c r="S1106" i="20" s="1"/>
  <c r="U1106" i="20" s="1"/>
  <c r="U1104" i="20"/>
  <c r="S1104" i="20"/>
  <c r="Q1104" i="20"/>
  <c r="U1103" i="20"/>
  <c r="S1103" i="20"/>
  <c r="Q1103" i="20"/>
  <c r="L1101" i="20"/>
  <c r="K1101" i="20"/>
  <c r="J1101" i="20"/>
  <c r="I1101" i="20"/>
  <c r="O1100" i="20"/>
  <c r="M1100" i="20"/>
  <c r="O1099" i="20"/>
  <c r="Q1099" i="20" s="1"/>
  <c r="S1099" i="20" s="1"/>
  <c r="U1099" i="20" s="1"/>
  <c r="M1099" i="20"/>
  <c r="M1101" i="20" s="1"/>
  <c r="Q1101" i="20" s="1"/>
  <c r="S1101" i="20" s="1"/>
  <c r="U1101" i="20" s="1"/>
  <c r="Q1098" i="20"/>
  <c r="S1098" i="20" s="1"/>
  <c r="U1098" i="20" s="1"/>
  <c r="O1097" i="20"/>
  <c r="M1097" i="20"/>
  <c r="O1096" i="20"/>
  <c r="Q1096" i="20" s="1"/>
  <c r="S1096" i="20" s="1"/>
  <c r="U1096" i="20" s="1"/>
  <c r="M1096" i="20"/>
  <c r="O1095" i="20"/>
  <c r="Q1095" i="20" s="1"/>
  <c r="S1095" i="20" s="1"/>
  <c r="U1095" i="20" s="1"/>
  <c r="O1094" i="20"/>
  <c r="Q1094" i="20" s="1"/>
  <c r="S1094" i="20" s="1"/>
  <c r="U1094" i="20" s="1"/>
  <c r="Q1093" i="20"/>
  <c r="S1093" i="20" s="1"/>
  <c r="U1093" i="20" s="1"/>
  <c r="Q1092" i="20"/>
  <c r="O1091" i="20"/>
  <c r="Q1091" i="20" s="1"/>
  <c r="S1091" i="20" s="1"/>
  <c r="U1091" i="20" s="1"/>
  <c r="O1090" i="20"/>
  <c r="Q1090" i="20" s="1"/>
  <c r="S1090" i="20" s="1"/>
  <c r="U1090" i="20" s="1"/>
  <c r="J1088" i="20"/>
  <c r="O1088" i="20" s="1"/>
  <c r="Q1088" i="20" s="1"/>
  <c r="S1088" i="20" s="1"/>
  <c r="U1088" i="20" s="1"/>
  <c r="J1087" i="20"/>
  <c r="O1087" i="20" s="1"/>
  <c r="Q1087" i="20" s="1"/>
  <c r="S1087" i="20" s="1"/>
  <c r="U1087" i="20" s="1"/>
  <c r="O1085" i="20"/>
  <c r="Q1085" i="20" s="1"/>
  <c r="S1085" i="20" s="1"/>
  <c r="U1085" i="20" s="1"/>
  <c r="O1084" i="20"/>
  <c r="Q1084" i="20" s="1"/>
  <c r="S1084" i="20" s="1"/>
  <c r="U1084" i="20" s="1"/>
  <c r="Q1082" i="20"/>
  <c r="S1082" i="20" s="1"/>
  <c r="U1082" i="20" s="1"/>
  <c r="U1081" i="20"/>
  <c r="S1081" i="20"/>
  <c r="Q1081" i="20"/>
  <c r="U1079" i="20"/>
  <c r="S1079" i="20"/>
  <c r="Q1079" i="20"/>
  <c r="O1077" i="20"/>
  <c r="O1076" i="20"/>
  <c r="O1075" i="20"/>
  <c r="Q1073" i="20"/>
  <c r="S1073" i="20" s="1"/>
  <c r="U1073" i="20" s="1"/>
  <c r="I1070" i="20"/>
  <c r="I1069" i="20"/>
  <c r="O1069" i="20" s="1"/>
  <c r="O1068" i="20"/>
  <c r="I1068" i="20"/>
  <c r="O1066" i="20"/>
  <c r="O1064" i="20"/>
  <c r="Q1062" i="20"/>
  <c r="S1062" i="20" s="1"/>
  <c r="U1062" i="20" s="1"/>
  <c r="Q1060" i="20"/>
  <c r="S1060" i="20" s="1"/>
  <c r="U1060" i="20" s="1"/>
  <c r="O1059" i="20"/>
  <c r="M1059" i="20"/>
  <c r="J1059" i="20"/>
  <c r="J1060" i="20" s="1"/>
  <c r="J1062" i="20" s="1"/>
  <c r="J1063" i="20" s="1"/>
  <c r="M1058" i="20"/>
  <c r="I1058" i="20"/>
  <c r="O1058" i="20" s="1"/>
  <c r="Q1056" i="20"/>
  <c r="S1056" i="20" s="1"/>
  <c r="U1056" i="20" s="1"/>
  <c r="Q1054" i="20"/>
  <c r="S1054" i="20" s="1"/>
  <c r="U1054" i="20" s="1"/>
  <c r="O1053" i="20"/>
  <c r="O1052" i="20"/>
  <c r="O1051" i="20"/>
  <c r="O1050" i="20"/>
  <c r="Q1049" i="20"/>
  <c r="S1049" i="20" s="1"/>
  <c r="U1049" i="20" s="1"/>
  <c r="O1047" i="20"/>
  <c r="O1046" i="20"/>
  <c r="Q1044" i="20"/>
  <c r="S1044" i="20" s="1"/>
  <c r="U1044" i="20" s="1"/>
  <c r="Q1041" i="20"/>
  <c r="S1041" i="20" s="1"/>
  <c r="U1041" i="20" s="1"/>
  <c r="I1037" i="20"/>
  <c r="I1038" i="20" s="1"/>
  <c r="J1036" i="20"/>
  <c r="J1037" i="20" s="1"/>
  <c r="I1036" i="20"/>
  <c r="O1036" i="20" s="1"/>
  <c r="M1035" i="20"/>
  <c r="Q1034" i="20"/>
  <c r="S1034" i="20" s="1"/>
  <c r="U1034" i="20" s="1"/>
  <c r="M1031" i="20"/>
  <c r="Q1031" i="20" s="1"/>
  <c r="S1031" i="20" s="1"/>
  <c r="U1031" i="20" s="1"/>
  <c r="L1031" i="20"/>
  <c r="K1031" i="20"/>
  <c r="J1031" i="20"/>
  <c r="S1030" i="20"/>
  <c r="U1030" i="20" s="1"/>
  <c r="Q1030" i="20"/>
  <c r="O1028" i="20"/>
  <c r="Q1028" i="20" s="1"/>
  <c r="S1028" i="20" s="1"/>
  <c r="U1028" i="20" s="1"/>
  <c r="M1028" i="20"/>
  <c r="Q1027" i="20"/>
  <c r="S1027" i="20" s="1"/>
  <c r="U1027" i="20" s="1"/>
  <c r="S1026" i="20"/>
  <c r="U1026" i="20" s="1"/>
  <c r="Q1026" i="20"/>
  <c r="Q1024" i="20"/>
  <c r="S1024" i="20" s="1"/>
  <c r="U1024" i="20" s="1"/>
  <c r="O1023" i="20"/>
  <c r="M1023" i="20"/>
  <c r="Q1022" i="20"/>
  <c r="S1022" i="20" s="1"/>
  <c r="U1022" i="20" s="1"/>
  <c r="M1022" i="20"/>
  <c r="M1021" i="20"/>
  <c r="Q1021" i="20" s="1"/>
  <c r="S1021" i="20" s="1"/>
  <c r="U1021" i="20" s="1"/>
  <c r="O1020" i="20"/>
  <c r="M1020" i="20"/>
  <c r="J1020" i="20"/>
  <c r="J1021" i="20" s="1"/>
  <c r="J1022" i="20" s="1"/>
  <c r="M1019" i="20"/>
  <c r="Q1019" i="20" s="1"/>
  <c r="S1019" i="20" s="1"/>
  <c r="U1019" i="20" s="1"/>
  <c r="O1016" i="20"/>
  <c r="O1011" i="20"/>
  <c r="Q1010" i="20"/>
  <c r="S1010" i="20" s="1"/>
  <c r="U1010" i="20" s="1"/>
  <c r="Q1008" i="20"/>
  <c r="S1008" i="20" s="1"/>
  <c r="U1008" i="20" s="1"/>
  <c r="S1007" i="20"/>
  <c r="U1007" i="20" s="1"/>
  <c r="Q1007" i="20"/>
  <c r="Q1006" i="20"/>
  <c r="S1006" i="20" s="1"/>
  <c r="U1006" i="20" s="1"/>
  <c r="Q1004" i="20"/>
  <c r="S1004" i="20" s="1"/>
  <c r="U1004" i="20" s="1"/>
  <c r="O1003" i="20"/>
  <c r="Q1003" i="20" s="1"/>
  <c r="S1003" i="20" s="1"/>
  <c r="U1003" i="20" s="1"/>
  <c r="O1002" i="20"/>
  <c r="Q1002" i="20" s="1"/>
  <c r="S1002" i="20" s="1"/>
  <c r="U1002" i="20" s="1"/>
  <c r="Q1000" i="20"/>
  <c r="S1000" i="20" s="1"/>
  <c r="U1000" i="20" s="1"/>
  <c r="O999" i="20"/>
  <c r="O998" i="20"/>
  <c r="Q996" i="20"/>
  <c r="S996" i="20" s="1"/>
  <c r="U996" i="20" s="1"/>
  <c r="J995" i="20"/>
  <c r="M995" i="20" s="1"/>
  <c r="M994" i="20"/>
  <c r="Q992" i="20"/>
  <c r="S992" i="20" s="1"/>
  <c r="U992" i="20" s="1"/>
  <c r="Q991" i="20"/>
  <c r="S991" i="20" s="1"/>
  <c r="U991" i="20" s="1"/>
  <c r="Q990" i="20"/>
  <c r="S990" i="20" s="1"/>
  <c r="U990" i="20" s="1"/>
  <c r="O988" i="20"/>
  <c r="O987" i="20"/>
  <c r="O986" i="20"/>
  <c r="Q984" i="20"/>
  <c r="S984" i="20" s="1"/>
  <c r="U984" i="20" s="1"/>
  <c r="O981" i="20"/>
  <c r="O979" i="20"/>
  <c r="O978" i="20"/>
  <c r="O977" i="20"/>
  <c r="Q975" i="20"/>
  <c r="S975" i="20" s="1"/>
  <c r="U975" i="20" s="1"/>
  <c r="O972" i="20"/>
  <c r="O970" i="20"/>
  <c r="O969" i="20"/>
  <c r="Q968" i="20"/>
  <c r="S968" i="20" s="1"/>
  <c r="U968" i="20" s="1"/>
  <c r="O966" i="20"/>
  <c r="O965" i="20"/>
  <c r="I964" i="20"/>
  <c r="O964" i="20" s="1"/>
  <c r="I963" i="20"/>
  <c r="Q962" i="20"/>
  <c r="S962" i="20" s="1"/>
  <c r="U962" i="20" s="1"/>
  <c r="O959" i="20"/>
  <c r="O957" i="20"/>
  <c r="O956" i="20"/>
  <c r="I955" i="20"/>
  <c r="O955" i="20" s="1"/>
  <c r="I954" i="20"/>
  <c r="O954" i="20" s="1"/>
  <c r="Q953" i="20"/>
  <c r="S953" i="20" s="1"/>
  <c r="U953" i="20" s="1"/>
  <c r="Q952" i="20"/>
  <c r="O950" i="20"/>
  <c r="O948" i="20"/>
  <c r="O947" i="20"/>
  <c r="I946" i="20"/>
  <c r="O946" i="20" s="1"/>
  <c r="I945" i="20"/>
  <c r="Q944" i="20"/>
  <c r="S944" i="20" s="1"/>
  <c r="U944" i="20" s="1"/>
  <c r="O941" i="20"/>
  <c r="O939" i="20"/>
  <c r="M939" i="20"/>
  <c r="O938" i="20"/>
  <c r="O937" i="20"/>
  <c r="M937" i="20"/>
  <c r="J937" i="20"/>
  <c r="J938" i="20" s="1"/>
  <c r="O936" i="20"/>
  <c r="M936" i="20"/>
  <c r="M934" i="20"/>
  <c r="M933" i="20"/>
  <c r="O932" i="20"/>
  <c r="O933" i="20" s="1"/>
  <c r="M932" i="20"/>
  <c r="Q932" i="20" s="1"/>
  <c r="S932" i="20" s="1"/>
  <c r="U932" i="20" s="1"/>
  <c r="M931" i="20"/>
  <c r="Q931" i="20" s="1"/>
  <c r="S931" i="20" s="1"/>
  <c r="U931" i="20" s="1"/>
  <c r="Q930" i="20"/>
  <c r="O928" i="20"/>
  <c r="O929" i="20" s="1"/>
  <c r="Q929" i="20" s="1"/>
  <c r="S929" i="20" s="1"/>
  <c r="U929" i="20" s="1"/>
  <c r="P927" i="20"/>
  <c r="P928" i="20" s="1"/>
  <c r="P929" i="20" s="1"/>
  <c r="O927" i="20"/>
  <c r="Q927" i="20" s="1"/>
  <c r="S927" i="20" s="1"/>
  <c r="U927" i="20" s="1"/>
  <c r="Q926" i="20"/>
  <c r="S926" i="20" s="1"/>
  <c r="U926" i="20" s="1"/>
  <c r="I921" i="20"/>
  <c r="I922" i="20" s="1"/>
  <c r="I918" i="20"/>
  <c r="I919" i="20" s="1"/>
  <c r="O919" i="20" s="1"/>
  <c r="I917" i="20"/>
  <c r="O917" i="20" s="1"/>
  <c r="O916" i="20"/>
  <c r="O914" i="20"/>
  <c r="O913" i="20"/>
  <c r="O912" i="20"/>
  <c r="O911" i="20"/>
  <c r="I907" i="20"/>
  <c r="I908" i="20" s="1"/>
  <c r="O906" i="20"/>
  <c r="Q895" i="20"/>
  <c r="Q890" i="20"/>
  <c r="M889" i="20"/>
  <c r="M888" i="20"/>
  <c r="O887" i="20"/>
  <c r="O888" i="20" s="1"/>
  <c r="M887" i="20"/>
  <c r="Q887" i="20" s="1"/>
  <c r="S887" i="20" s="1"/>
  <c r="U887" i="20" s="1"/>
  <c r="M886" i="20"/>
  <c r="Q886" i="20" s="1"/>
  <c r="S886" i="20" s="1"/>
  <c r="U886" i="20" s="1"/>
  <c r="Q874" i="20"/>
  <c r="Q873" i="20"/>
  <c r="S873" i="20" s="1"/>
  <c r="U873" i="20" s="1"/>
  <c r="S872" i="20"/>
  <c r="U872" i="20" s="1"/>
  <c r="Q872" i="20"/>
  <c r="N872" i="20"/>
  <c r="N873" i="20" s="1"/>
  <c r="N874" i="20" s="1"/>
  <c r="Q871" i="20"/>
  <c r="S871" i="20" s="1"/>
  <c r="U871" i="20" s="1"/>
  <c r="K869" i="20"/>
  <c r="J869" i="20"/>
  <c r="J874" i="20" s="1"/>
  <c r="J879" i="20" s="1"/>
  <c r="J884" i="20" s="1"/>
  <c r="K868" i="20"/>
  <c r="K873" i="20" s="1"/>
  <c r="J868" i="20"/>
  <c r="J873" i="20" s="1"/>
  <c r="J878" i="20" s="1"/>
  <c r="J883" i="20" s="1"/>
  <c r="K867" i="20"/>
  <c r="K872" i="20" s="1"/>
  <c r="J867" i="20"/>
  <c r="M867" i="20" s="1"/>
  <c r="K866" i="20"/>
  <c r="K871" i="20" s="1"/>
  <c r="J866" i="20"/>
  <c r="J871" i="20" s="1"/>
  <c r="J876" i="20" s="1"/>
  <c r="J881" i="20" s="1"/>
  <c r="M864" i="20"/>
  <c r="M863" i="20"/>
  <c r="O862" i="20"/>
  <c r="M862" i="20"/>
  <c r="I862" i="20"/>
  <c r="I863" i="20" s="1"/>
  <c r="O861" i="20"/>
  <c r="M861" i="20"/>
  <c r="O859" i="20"/>
  <c r="Q859" i="20" s="1"/>
  <c r="S859" i="20" s="1"/>
  <c r="U859" i="20" s="1"/>
  <c r="M859" i="20"/>
  <c r="M857" i="20"/>
  <c r="Q856" i="20"/>
  <c r="S856" i="20" s="1"/>
  <c r="U856" i="20" s="1"/>
  <c r="U853" i="20"/>
  <c r="K853" i="20"/>
  <c r="M853" i="20" s="1"/>
  <c r="Q853" i="20" s="1"/>
  <c r="S853" i="20" s="1"/>
  <c r="I853" i="20"/>
  <c r="M852" i="20"/>
  <c r="Q852" i="20" s="1"/>
  <c r="S852" i="20" s="1"/>
  <c r="U852" i="20" s="1"/>
  <c r="K852" i="20"/>
  <c r="J852" i="20"/>
  <c r="J853" i="20" s="1"/>
  <c r="I852" i="20"/>
  <c r="Q851" i="20"/>
  <c r="S851" i="20" s="1"/>
  <c r="U851" i="20" s="1"/>
  <c r="M851" i="20"/>
  <c r="U850" i="20"/>
  <c r="Q850" i="20"/>
  <c r="S850" i="20" s="1"/>
  <c r="S848" i="20"/>
  <c r="U848" i="20" s="1"/>
  <c r="Q848" i="20"/>
  <c r="S847" i="20"/>
  <c r="U847" i="20" s="1"/>
  <c r="Q847" i="20"/>
  <c r="S846" i="20"/>
  <c r="U846" i="20" s="1"/>
  <c r="Q846" i="20"/>
  <c r="K845" i="20"/>
  <c r="J845" i="20"/>
  <c r="J846" i="20" s="1"/>
  <c r="J847" i="20" s="1"/>
  <c r="J848" i="20" s="1"/>
  <c r="M844" i="20"/>
  <c r="K844" i="20"/>
  <c r="J844" i="20"/>
  <c r="I844" i="20"/>
  <c r="I845" i="20" s="1"/>
  <c r="I846" i="20" s="1"/>
  <c r="I847" i="20" s="1"/>
  <c r="I848" i="20" s="1"/>
  <c r="O843" i="20"/>
  <c r="Q843" i="20" s="1"/>
  <c r="S843" i="20" s="1"/>
  <c r="U843" i="20" s="1"/>
  <c r="M843" i="20"/>
  <c r="S841" i="20"/>
  <c r="U841" i="20" s="1"/>
  <c r="Q841" i="20"/>
  <c r="Q840" i="20"/>
  <c r="S840" i="20" s="1"/>
  <c r="U840" i="20" s="1"/>
  <c r="S839" i="20"/>
  <c r="U839" i="20" s="1"/>
  <c r="Q839" i="20"/>
  <c r="M838" i="20"/>
  <c r="Q838" i="20" s="1"/>
  <c r="S838" i="20" s="1"/>
  <c r="U838" i="20" s="1"/>
  <c r="O837" i="20"/>
  <c r="M837" i="20"/>
  <c r="J837" i="20"/>
  <c r="J838" i="20" s="1"/>
  <c r="J839" i="20" s="1"/>
  <c r="J840" i="20" s="1"/>
  <c r="J841" i="20" s="1"/>
  <c r="O836" i="20"/>
  <c r="M836" i="20"/>
  <c r="O834" i="20"/>
  <c r="Q834" i="20" s="1"/>
  <c r="S834" i="20" s="1"/>
  <c r="U834" i="20" s="1"/>
  <c r="M834" i="20"/>
  <c r="M833" i="20"/>
  <c r="Q833" i="20" s="1"/>
  <c r="S833" i="20" s="1"/>
  <c r="U833" i="20" s="1"/>
  <c r="Q832" i="20"/>
  <c r="S832" i="20" s="1"/>
  <c r="U832" i="20" s="1"/>
  <c r="M832" i="20"/>
  <c r="M831" i="20"/>
  <c r="Q831" i="20" s="1"/>
  <c r="S831" i="20" s="1"/>
  <c r="U831" i="20" s="1"/>
  <c r="M829" i="20"/>
  <c r="Q829" i="20" s="1"/>
  <c r="S829" i="20" s="1"/>
  <c r="U829" i="20" s="1"/>
  <c r="Q828" i="20"/>
  <c r="S828" i="20" s="1"/>
  <c r="U828" i="20" s="1"/>
  <c r="M828" i="20"/>
  <c r="M827" i="20"/>
  <c r="Q827" i="20" s="1"/>
  <c r="S827" i="20" s="1"/>
  <c r="U827" i="20" s="1"/>
  <c r="Q826" i="20"/>
  <c r="S826" i="20" s="1"/>
  <c r="U826" i="20" s="1"/>
  <c r="M826" i="20"/>
  <c r="Q824" i="20"/>
  <c r="S824" i="20" s="1"/>
  <c r="U824" i="20" s="1"/>
  <c r="O824" i="20"/>
  <c r="M824" i="20"/>
  <c r="Q823" i="20"/>
  <c r="S823" i="20" s="1"/>
  <c r="U823" i="20" s="1"/>
  <c r="U821" i="20"/>
  <c r="S821" i="20"/>
  <c r="Q821" i="20"/>
  <c r="M819" i="20"/>
  <c r="Q819" i="20" s="1"/>
  <c r="S819" i="20" s="1"/>
  <c r="U819" i="20" s="1"/>
  <c r="Q818" i="20"/>
  <c r="S818" i="20" s="1"/>
  <c r="U818" i="20" s="1"/>
  <c r="M818" i="20"/>
  <c r="Q816" i="20"/>
  <c r="S816" i="20" s="1"/>
  <c r="U816" i="20" s="1"/>
  <c r="S815" i="20"/>
  <c r="U815" i="20" s="1"/>
  <c r="Q815" i="20"/>
  <c r="U814" i="20"/>
  <c r="S814" i="20"/>
  <c r="Q814" i="20"/>
  <c r="S812" i="20"/>
  <c r="U812" i="20" s="1"/>
  <c r="Q812" i="20"/>
  <c r="U811" i="20"/>
  <c r="S811" i="20"/>
  <c r="Q811" i="20"/>
  <c r="Q810" i="20"/>
  <c r="S810" i="20" s="1"/>
  <c r="U810" i="20" s="1"/>
  <c r="Q809" i="20"/>
  <c r="S809" i="20" s="1"/>
  <c r="U809" i="20" s="1"/>
  <c r="S808" i="20"/>
  <c r="U808" i="20" s="1"/>
  <c r="Q808" i="20"/>
  <c r="M808" i="20"/>
  <c r="O806" i="20"/>
  <c r="M806" i="20"/>
  <c r="Q806" i="20" s="1"/>
  <c r="S806" i="20" s="1"/>
  <c r="U806" i="20" s="1"/>
  <c r="Q805" i="20"/>
  <c r="S805" i="20" s="1"/>
  <c r="U805" i="20" s="1"/>
  <c r="Q803" i="20"/>
  <c r="S803" i="20" s="1"/>
  <c r="U803" i="20" s="1"/>
  <c r="U801" i="20"/>
  <c r="S801" i="20"/>
  <c r="Q801" i="20"/>
  <c r="M800" i="20"/>
  <c r="Q800" i="20" s="1"/>
  <c r="S800" i="20" s="1"/>
  <c r="U800" i="20" s="1"/>
  <c r="Q798" i="20"/>
  <c r="S798" i="20" s="1"/>
  <c r="U798" i="20" s="1"/>
  <c r="Q797" i="20"/>
  <c r="S797" i="20" s="1"/>
  <c r="U797" i="20" s="1"/>
  <c r="S796" i="20"/>
  <c r="U796" i="20" s="1"/>
  <c r="Q796" i="20"/>
  <c r="M796" i="20"/>
  <c r="Q793" i="20"/>
  <c r="S793" i="20" s="1"/>
  <c r="U793" i="20" s="1"/>
  <c r="M793" i="20"/>
  <c r="M792" i="20"/>
  <c r="Q792" i="20" s="1"/>
  <c r="S792" i="20" s="1"/>
  <c r="U792" i="20" s="1"/>
  <c r="Q791" i="20"/>
  <c r="S791" i="20" s="1"/>
  <c r="U791" i="20" s="1"/>
  <c r="M791" i="20"/>
  <c r="M790" i="20"/>
  <c r="Q790" i="20" s="1"/>
  <c r="S790" i="20" s="1"/>
  <c r="U790" i="20" s="1"/>
  <c r="M788" i="20"/>
  <c r="Q788" i="20" s="1"/>
  <c r="S788" i="20" s="1"/>
  <c r="U788" i="20" s="1"/>
  <c r="Q787" i="20"/>
  <c r="S787" i="20" s="1"/>
  <c r="U787" i="20" s="1"/>
  <c r="M787" i="20"/>
  <c r="Q785" i="20"/>
  <c r="S785" i="20" s="1"/>
  <c r="U785" i="20" s="1"/>
  <c r="M785" i="20"/>
  <c r="M784" i="20"/>
  <c r="Q784" i="20" s="1"/>
  <c r="S784" i="20" s="1"/>
  <c r="U784" i="20" s="1"/>
  <c r="Q783" i="20"/>
  <c r="S783" i="20" s="1"/>
  <c r="U783" i="20" s="1"/>
  <c r="M783" i="20"/>
  <c r="Q782" i="20"/>
  <c r="S782" i="20" s="1"/>
  <c r="U782" i="20" s="1"/>
  <c r="M780" i="20"/>
  <c r="Q780" i="20" s="1"/>
  <c r="S780" i="20" s="1"/>
  <c r="U780" i="20" s="1"/>
  <c r="M779" i="20"/>
  <c r="Q779" i="20" s="1"/>
  <c r="S779" i="20" s="1"/>
  <c r="U779" i="20" s="1"/>
  <c r="M778" i="20"/>
  <c r="Q778" i="20" s="1"/>
  <c r="S778" i="20" s="1"/>
  <c r="U778" i="20" s="1"/>
  <c r="Q777" i="20"/>
  <c r="S777" i="20" s="1"/>
  <c r="U777" i="20" s="1"/>
  <c r="M775" i="20"/>
  <c r="Q775" i="20" s="1"/>
  <c r="S775" i="20" s="1"/>
  <c r="U775" i="20" s="1"/>
  <c r="Q774" i="20"/>
  <c r="S774" i="20" s="1"/>
  <c r="U774" i="20" s="1"/>
  <c r="M774" i="20"/>
  <c r="M773" i="20"/>
  <c r="Q773" i="20" s="1"/>
  <c r="S773" i="20" s="1"/>
  <c r="U773" i="20" s="1"/>
  <c r="Q772" i="20"/>
  <c r="S772" i="20" s="1"/>
  <c r="U772" i="20" s="1"/>
  <c r="M772" i="20"/>
  <c r="M771" i="20"/>
  <c r="Q771" i="20" s="1"/>
  <c r="S771" i="20" s="1"/>
  <c r="U771" i="20" s="1"/>
  <c r="Q770" i="20"/>
  <c r="S770" i="20" s="1"/>
  <c r="U770" i="20" s="1"/>
  <c r="M770" i="20"/>
  <c r="M769" i="20"/>
  <c r="Q769" i="20" s="1"/>
  <c r="S769" i="20" s="1"/>
  <c r="U769" i="20" s="1"/>
  <c r="Q768" i="20"/>
  <c r="S768" i="20" s="1"/>
  <c r="U768" i="20" s="1"/>
  <c r="M768" i="20"/>
  <c r="M767" i="20"/>
  <c r="Q767" i="20" s="1"/>
  <c r="S767" i="20" s="1"/>
  <c r="U767" i="20" s="1"/>
  <c r="Q766" i="20"/>
  <c r="S766" i="20" s="1"/>
  <c r="U766" i="20" s="1"/>
  <c r="M766" i="20"/>
  <c r="M765" i="20"/>
  <c r="Q765" i="20" s="1"/>
  <c r="S765" i="20" s="1"/>
  <c r="U765" i="20" s="1"/>
  <c r="Q764" i="20"/>
  <c r="S764" i="20" s="1"/>
  <c r="U764" i="20" s="1"/>
  <c r="M764" i="20"/>
  <c r="Q763" i="20"/>
  <c r="S763" i="20" s="1"/>
  <c r="U763" i="20" s="1"/>
  <c r="Q762" i="20"/>
  <c r="S762" i="20" s="1"/>
  <c r="U762" i="20" s="1"/>
  <c r="O760" i="20"/>
  <c r="Q760" i="20" s="1"/>
  <c r="S760" i="20" s="1"/>
  <c r="U760" i="20" s="1"/>
  <c r="Q759" i="20"/>
  <c r="S759" i="20" s="1"/>
  <c r="U759" i="20" s="1"/>
  <c r="Q757" i="20"/>
  <c r="S757" i="20" s="1"/>
  <c r="U757" i="20" s="1"/>
  <c r="O755" i="20"/>
  <c r="K754" i="20"/>
  <c r="J754" i="20"/>
  <c r="M754" i="20" s="1"/>
  <c r="I754" i="20"/>
  <c r="O754" i="20" s="1"/>
  <c r="M753" i="20"/>
  <c r="Q753" i="20" s="1"/>
  <c r="S753" i="20" s="1"/>
  <c r="U753" i="20" s="1"/>
  <c r="K753" i="20"/>
  <c r="J753" i="20"/>
  <c r="K752" i="20"/>
  <c r="J752" i="20"/>
  <c r="M752" i="20" s="1"/>
  <c r="I752" i="20"/>
  <c r="M750" i="20"/>
  <c r="Q750" i="20" s="1"/>
  <c r="S750" i="20" s="1"/>
  <c r="U750" i="20" s="1"/>
  <c r="M749" i="20"/>
  <c r="Q749" i="20" s="1"/>
  <c r="S749" i="20" s="1"/>
  <c r="U749" i="20" s="1"/>
  <c r="I749" i="20"/>
  <c r="I753" i="20" s="1"/>
  <c r="Q748" i="20"/>
  <c r="S748" i="20" s="1"/>
  <c r="U748" i="20" s="1"/>
  <c r="M748" i="20"/>
  <c r="Q747" i="20"/>
  <c r="S747" i="20" s="1"/>
  <c r="U747" i="20" s="1"/>
  <c r="S744" i="20"/>
  <c r="U744" i="20" s="1"/>
  <c r="Q744" i="20"/>
  <c r="J743" i="20"/>
  <c r="M743" i="20" s="1"/>
  <c r="Q743" i="20" s="1"/>
  <c r="S743" i="20" s="1"/>
  <c r="U743" i="20" s="1"/>
  <c r="M742" i="20"/>
  <c r="Q742" i="20" s="1"/>
  <c r="S742" i="20" s="1"/>
  <c r="U742" i="20" s="1"/>
  <c r="J742" i="20"/>
  <c r="Q740" i="20"/>
  <c r="S740" i="20" s="1"/>
  <c r="U740" i="20" s="1"/>
  <c r="S739" i="20"/>
  <c r="U739" i="20" s="1"/>
  <c r="Q739" i="20"/>
  <c r="S738" i="20"/>
  <c r="U738" i="20" s="1"/>
  <c r="Q738" i="20"/>
  <c r="S736" i="20"/>
  <c r="U736" i="20" s="1"/>
  <c r="Q736" i="20"/>
  <c r="Q735" i="20"/>
  <c r="S735" i="20" s="1"/>
  <c r="U735" i="20" s="1"/>
  <c r="Q734" i="20"/>
  <c r="S734" i="20" s="1"/>
  <c r="U734" i="20" s="1"/>
  <c r="Q732" i="20"/>
  <c r="S732" i="20" s="1"/>
  <c r="U732" i="20" s="1"/>
  <c r="Q731" i="20"/>
  <c r="O730" i="20"/>
  <c r="M730" i="20"/>
  <c r="Q730" i="20" s="1"/>
  <c r="S730" i="20" s="1"/>
  <c r="U730" i="20" s="1"/>
  <c r="Q728" i="20"/>
  <c r="S728" i="20" s="1"/>
  <c r="U728" i="20" s="1"/>
  <c r="S727" i="20"/>
  <c r="U727" i="20" s="1"/>
  <c r="Q727" i="20"/>
  <c r="I727" i="20"/>
  <c r="I739" i="20" s="1"/>
  <c r="S726" i="20"/>
  <c r="U726" i="20" s="1"/>
  <c r="Q726" i="20"/>
  <c r="I726" i="20"/>
  <c r="I738" i="20" s="1"/>
  <c r="Q724" i="20"/>
  <c r="Q723" i="20"/>
  <c r="K723" i="20"/>
  <c r="K724" i="20" s="1"/>
  <c r="I723" i="20"/>
  <c r="I735" i="20" s="1"/>
  <c r="Q722" i="20"/>
  <c r="S722" i="20" s="1"/>
  <c r="U722" i="20" s="1"/>
  <c r="K722" i="20"/>
  <c r="I722" i="20"/>
  <c r="I734" i="20" s="1"/>
  <c r="K719" i="20"/>
  <c r="K720" i="20" s="1"/>
  <c r="M720" i="20" s="1"/>
  <c r="Q720" i="20" s="1"/>
  <c r="I719" i="20"/>
  <c r="I731" i="20" s="1"/>
  <c r="K718" i="20"/>
  <c r="M718" i="20" s="1"/>
  <c r="Q718" i="20" s="1"/>
  <c r="I718" i="20"/>
  <c r="K716" i="20"/>
  <c r="M716" i="20" s="1"/>
  <c r="Q716" i="20" s="1"/>
  <c r="S716" i="20" s="1"/>
  <c r="U716" i="20" s="1"/>
  <c r="M715" i="20"/>
  <c r="Q715" i="20" s="1"/>
  <c r="S715" i="20" s="1"/>
  <c r="U715" i="20" s="1"/>
  <c r="Q714" i="20"/>
  <c r="S714" i="20" s="1"/>
  <c r="U714" i="20" s="1"/>
  <c r="M714" i="20"/>
  <c r="J714" i="20"/>
  <c r="S712" i="20"/>
  <c r="U712" i="20" s="1"/>
  <c r="Q712" i="20"/>
  <c r="J711" i="20"/>
  <c r="J715" i="20" s="1"/>
  <c r="M710" i="20"/>
  <c r="Q710" i="20" s="1"/>
  <c r="S710" i="20" s="1"/>
  <c r="U710" i="20" s="1"/>
  <c r="J710" i="20"/>
  <c r="Q708" i="20"/>
  <c r="S708" i="20" s="1"/>
  <c r="U708" i="20" s="1"/>
  <c r="S707" i="20"/>
  <c r="U707" i="20" s="1"/>
  <c r="Q707" i="20"/>
  <c r="S706" i="20"/>
  <c r="U706" i="20" s="1"/>
  <c r="Q706" i="20"/>
  <c r="S704" i="20"/>
  <c r="U704" i="20" s="1"/>
  <c r="Q704" i="20"/>
  <c r="Q703" i="20"/>
  <c r="S703" i="20" s="1"/>
  <c r="U703" i="20" s="1"/>
  <c r="Q702" i="20"/>
  <c r="S702" i="20" s="1"/>
  <c r="U702" i="20" s="1"/>
  <c r="Q700" i="20"/>
  <c r="S700" i="20" s="1"/>
  <c r="U700" i="20" s="1"/>
  <c r="Q699" i="20"/>
  <c r="O698" i="20"/>
  <c r="M698" i="20"/>
  <c r="Q698" i="20" s="1"/>
  <c r="S698" i="20" s="1"/>
  <c r="U698" i="20" s="1"/>
  <c r="Q696" i="20"/>
  <c r="S696" i="20" s="1"/>
  <c r="U696" i="20" s="1"/>
  <c r="S695" i="20"/>
  <c r="U695" i="20" s="1"/>
  <c r="Q695" i="20"/>
  <c r="I695" i="20"/>
  <c r="I707" i="20" s="1"/>
  <c r="S694" i="20"/>
  <c r="U694" i="20" s="1"/>
  <c r="Q694" i="20"/>
  <c r="I694" i="20"/>
  <c r="I706" i="20" s="1"/>
  <c r="Q692" i="20"/>
  <c r="Q691" i="20"/>
  <c r="K691" i="20"/>
  <c r="K692" i="20" s="1"/>
  <c r="I691" i="20"/>
  <c r="I703" i="20" s="1"/>
  <c r="Q690" i="20"/>
  <c r="S690" i="20" s="1"/>
  <c r="U690" i="20" s="1"/>
  <c r="K690" i="20"/>
  <c r="I690" i="20"/>
  <c r="I702" i="20" s="1"/>
  <c r="K687" i="20"/>
  <c r="K688" i="20" s="1"/>
  <c r="M688" i="20" s="1"/>
  <c r="Q688" i="20" s="1"/>
  <c r="I687" i="20"/>
  <c r="I699" i="20" s="1"/>
  <c r="K686" i="20"/>
  <c r="M686" i="20" s="1"/>
  <c r="Q686" i="20" s="1"/>
  <c r="I686" i="20"/>
  <c r="K684" i="20"/>
  <c r="M684" i="20" s="1"/>
  <c r="Q684" i="20" s="1"/>
  <c r="S684" i="20" s="1"/>
  <c r="U684" i="20" s="1"/>
  <c r="M683" i="20"/>
  <c r="Q683" i="20" s="1"/>
  <c r="S683" i="20" s="1"/>
  <c r="U683" i="20" s="1"/>
  <c r="M682" i="20"/>
  <c r="Q682" i="20" s="1"/>
  <c r="S682" i="20" s="1"/>
  <c r="U682" i="20" s="1"/>
  <c r="O679" i="20"/>
  <c r="Q679" i="20" s="1"/>
  <c r="S679" i="20" s="1"/>
  <c r="U679" i="20" s="1"/>
  <c r="O678" i="20"/>
  <c r="I678" i="20"/>
  <c r="Q677" i="20"/>
  <c r="S677" i="20" s="1"/>
  <c r="U677" i="20" s="1"/>
  <c r="I677" i="20"/>
  <c r="Q676" i="20"/>
  <c r="S676" i="20" s="1"/>
  <c r="U676" i="20" s="1"/>
  <c r="I676" i="20"/>
  <c r="O675" i="20"/>
  <c r="I675" i="20"/>
  <c r="O674" i="20"/>
  <c r="J674" i="20"/>
  <c r="J675" i="20" s="1"/>
  <c r="I674" i="20"/>
  <c r="S672" i="20"/>
  <c r="U672" i="20" s="1"/>
  <c r="Q672" i="20"/>
  <c r="I672" i="20"/>
  <c r="S671" i="20"/>
  <c r="U671" i="20" s="1"/>
  <c r="Q671" i="20"/>
  <c r="O668" i="20"/>
  <c r="I668" i="20"/>
  <c r="S667" i="20"/>
  <c r="U667" i="20" s="1"/>
  <c r="Q667" i="20"/>
  <c r="I667" i="20"/>
  <c r="S666" i="20"/>
  <c r="U666" i="20" s="1"/>
  <c r="Q666" i="20"/>
  <c r="I666" i="20"/>
  <c r="O665" i="20"/>
  <c r="J665" i="20"/>
  <c r="J668" i="20" s="1"/>
  <c r="M668" i="20" s="1"/>
  <c r="Q668" i="20" s="1"/>
  <c r="S668" i="20" s="1"/>
  <c r="U668" i="20" s="1"/>
  <c r="I665" i="20"/>
  <c r="O664" i="20"/>
  <c r="M664" i="20"/>
  <c r="Q664" i="20" s="1"/>
  <c r="S664" i="20" s="1"/>
  <c r="U664" i="20" s="1"/>
  <c r="I664" i="20"/>
  <c r="Q662" i="20"/>
  <c r="S662" i="20" s="1"/>
  <c r="U662" i="20" s="1"/>
  <c r="I662" i="20"/>
  <c r="S661" i="20"/>
  <c r="U661" i="20" s="1"/>
  <c r="Q661" i="20"/>
  <c r="O658" i="20"/>
  <c r="O657" i="20"/>
  <c r="J657" i="20"/>
  <c r="J658" i="20" s="1"/>
  <c r="O656" i="20"/>
  <c r="M656" i="20"/>
  <c r="Q655" i="20"/>
  <c r="S655" i="20" s="1"/>
  <c r="U655" i="20" s="1"/>
  <c r="Q654" i="20"/>
  <c r="S654" i="20" s="1"/>
  <c r="U654" i="20" s="1"/>
  <c r="Q653" i="20"/>
  <c r="S653" i="20" s="1"/>
  <c r="U653" i="20" s="1"/>
  <c r="Q652" i="20"/>
  <c r="S652" i="20" s="1"/>
  <c r="U652" i="20" s="1"/>
  <c r="Q651" i="20"/>
  <c r="S651" i="20" s="1"/>
  <c r="U651" i="20" s="1"/>
  <c r="Q650" i="20"/>
  <c r="S650" i="20" s="1"/>
  <c r="U650" i="20" s="1"/>
  <c r="Q649" i="20"/>
  <c r="S649" i="20" s="1"/>
  <c r="U649" i="20" s="1"/>
  <c r="Q648" i="20"/>
  <c r="S648" i="20" s="1"/>
  <c r="U648" i="20" s="1"/>
  <c r="O647" i="20"/>
  <c r="Q647" i="20" s="1"/>
  <c r="S647" i="20" s="1"/>
  <c r="U647" i="20" s="1"/>
  <c r="M647" i="20"/>
  <c r="J647" i="20"/>
  <c r="J648" i="20" s="1"/>
  <c r="J649" i="20" s="1"/>
  <c r="J650" i="20" s="1"/>
  <c r="J651" i="20" s="1"/>
  <c r="J652" i="20" s="1"/>
  <c r="J653" i="20" s="1"/>
  <c r="J654" i="20" s="1"/>
  <c r="J655" i="20" s="1"/>
  <c r="U646" i="20"/>
  <c r="S646" i="20"/>
  <c r="O645" i="20"/>
  <c r="Q645" i="20" s="1"/>
  <c r="S645" i="20" s="1"/>
  <c r="U645" i="20" s="1"/>
  <c r="M645" i="20"/>
  <c r="S644" i="20"/>
  <c r="U644" i="20" s="1"/>
  <c r="Q644" i="20"/>
  <c r="Q642" i="20"/>
  <c r="S642" i="20" s="1"/>
  <c r="U642" i="20" s="1"/>
  <c r="Q641" i="20"/>
  <c r="S641" i="20" s="1"/>
  <c r="U641" i="20" s="1"/>
  <c r="J641" i="20"/>
  <c r="J642" i="20" s="1"/>
  <c r="Q640" i="20"/>
  <c r="S640" i="20" s="1"/>
  <c r="U640" i="20" s="1"/>
  <c r="S639" i="20"/>
  <c r="U639" i="20" s="1"/>
  <c r="Q639" i="20"/>
  <c r="Q637" i="20"/>
  <c r="S637" i="20" s="1"/>
  <c r="U637" i="20" s="1"/>
  <c r="O636" i="20"/>
  <c r="M636" i="20"/>
  <c r="Q636" i="20" s="1"/>
  <c r="S636" i="20" s="1"/>
  <c r="U636" i="20" s="1"/>
  <c r="Q635" i="20"/>
  <c r="S635" i="20" s="1"/>
  <c r="U635" i="20" s="1"/>
  <c r="O634" i="20"/>
  <c r="M634" i="20"/>
  <c r="Q634" i="20" s="1"/>
  <c r="S634" i="20" s="1"/>
  <c r="U634" i="20" s="1"/>
  <c r="Q632" i="20"/>
  <c r="S632" i="20" s="1"/>
  <c r="U632" i="20" s="1"/>
  <c r="O631" i="20"/>
  <c r="M631" i="20"/>
  <c r="Q631" i="20" s="1"/>
  <c r="S631" i="20" s="1"/>
  <c r="U631" i="20" s="1"/>
  <c r="Q630" i="20"/>
  <c r="S630" i="20" s="1"/>
  <c r="U630" i="20" s="1"/>
  <c r="O629" i="20"/>
  <c r="M629" i="20"/>
  <c r="Q629" i="20" s="1"/>
  <c r="S629" i="20" s="1"/>
  <c r="U629" i="20" s="1"/>
  <c r="Q627" i="20"/>
  <c r="S627" i="20" s="1"/>
  <c r="U627" i="20" s="1"/>
  <c r="S626" i="20"/>
  <c r="U626" i="20" s="1"/>
  <c r="Q626" i="20"/>
  <c r="Q625" i="20"/>
  <c r="S625" i="20" s="1"/>
  <c r="U625" i="20" s="1"/>
  <c r="O623" i="20"/>
  <c r="M623" i="20"/>
  <c r="Q623" i="20" s="1"/>
  <c r="S623" i="20" s="1"/>
  <c r="U623" i="20" s="1"/>
  <c r="O622" i="20"/>
  <c r="M622" i="20"/>
  <c r="Q622" i="20" s="1"/>
  <c r="S622" i="20" s="1"/>
  <c r="U622" i="20" s="1"/>
  <c r="O621" i="20"/>
  <c r="M621" i="20"/>
  <c r="Q621" i="20" s="1"/>
  <c r="S621" i="20" s="1"/>
  <c r="U621" i="20" s="1"/>
  <c r="Q620" i="20"/>
  <c r="S620" i="20" s="1"/>
  <c r="U620" i="20" s="1"/>
  <c r="O620" i="20"/>
  <c r="M620" i="20"/>
  <c r="O618" i="20"/>
  <c r="Q618" i="20" s="1"/>
  <c r="S618" i="20" s="1"/>
  <c r="U618" i="20" s="1"/>
  <c r="S617" i="20"/>
  <c r="U617" i="20" s="1"/>
  <c r="Q617" i="20"/>
  <c r="Q616" i="20"/>
  <c r="S616" i="20" s="1"/>
  <c r="U616" i="20" s="1"/>
  <c r="O614" i="20"/>
  <c r="J614" i="20"/>
  <c r="M614" i="20" s="1"/>
  <c r="M613" i="20"/>
  <c r="Q613" i="20" s="1"/>
  <c r="S613" i="20" s="1"/>
  <c r="U613" i="20" s="1"/>
  <c r="S612" i="20"/>
  <c r="U612" i="20" s="1"/>
  <c r="Q612" i="20"/>
  <c r="Q610" i="20"/>
  <c r="S610" i="20" s="1"/>
  <c r="U610" i="20" s="1"/>
  <c r="O610" i="20"/>
  <c r="M610" i="20"/>
  <c r="J610" i="20"/>
  <c r="Q609" i="20"/>
  <c r="S609" i="20" s="1"/>
  <c r="U609" i="20" s="1"/>
  <c r="M609" i="20"/>
  <c r="O608" i="20"/>
  <c r="M608" i="20"/>
  <c r="Q608" i="20" s="1"/>
  <c r="S608" i="20" s="1"/>
  <c r="U608" i="20" s="1"/>
  <c r="S606" i="20"/>
  <c r="U606" i="20" s="1"/>
  <c r="Q606" i="20"/>
  <c r="Q605" i="20"/>
  <c r="S605" i="20" s="1"/>
  <c r="U605" i="20" s="1"/>
  <c r="S602" i="20"/>
  <c r="U602" i="20" s="1"/>
  <c r="Q602" i="20"/>
  <c r="S601" i="20"/>
  <c r="U601" i="20" s="1"/>
  <c r="Q601" i="20"/>
  <c r="S600" i="20"/>
  <c r="U600" i="20" s="1"/>
  <c r="Q600" i="20"/>
  <c r="S599" i="20"/>
  <c r="U599" i="20" s="1"/>
  <c r="Q599" i="20"/>
  <c r="S598" i="20"/>
  <c r="U598" i="20" s="1"/>
  <c r="Q598" i="20"/>
  <c r="S596" i="20"/>
  <c r="U596" i="20" s="1"/>
  <c r="Q596" i="20"/>
  <c r="S595" i="20"/>
  <c r="U595" i="20" s="1"/>
  <c r="Q595" i="20"/>
  <c r="J595" i="20"/>
  <c r="J596" i="20" s="1"/>
  <c r="O594" i="20"/>
  <c r="M594" i="20"/>
  <c r="Q593" i="20"/>
  <c r="S593" i="20" s="1"/>
  <c r="U593" i="20" s="1"/>
  <c r="O592" i="20"/>
  <c r="I590" i="20"/>
  <c r="O590" i="20" s="1"/>
  <c r="O588" i="20"/>
  <c r="Q585" i="20"/>
  <c r="S585" i="20" s="1"/>
  <c r="U585" i="20" s="1"/>
  <c r="S583" i="20"/>
  <c r="U583" i="20" s="1"/>
  <c r="Q583" i="20"/>
  <c r="J583" i="20"/>
  <c r="J586" i="20" s="1"/>
  <c r="Q582" i="20"/>
  <c r="S582" i="20" s="1"/>
  <c r="U582" i="20" s="1"/>
  <c r="J582" i="20"/>
  <c r="I582" i="20"/>
  <c r="O580" i="20"/>
  <c r="M580" i="20"/>
  <c r="I580" i="20"/>
  <c r="I583" i="20" s="1"/>
  <c r="O579" i="20"/>
  <c r="M579" i="20"/>
  <c r="Q578" i="20"/>
  <c r="S578" i="20" s="1"/>
  <c r="U578" i="20" s="1"/>
  <c r="O577" i="20"/>
  <c r="M577" i="20"/>
  <c r="Q576" i="20"/>
  <c r="S576" i="20" s="1"/>
  <c r="U576" i="20" s="1"/>
  <c r="S573" i="20"/>
  <c r="U573" i="20" s="1"/>
  <c r="Q573" i="20"/>
  <c r="O572" i="20"/>
  <c r="Q572" i="20" s="1"/>
  <c r="S572" i="20" s="1"/>
  <c r="U572" i="20" s="1"/>
  <c r="O570" i="20"/>
  <c r="O569" i="20"/>
  <c r="Q568" i="20"/>
  <c r="S568" i="20" s="1"/>
  <c r="U568" i="20" s="1"/>
  <c r="O567" i="20"/>
  <c r="Q567" i="20" s="1"/>
  <c r="S567" i="20" s="1"/>
  <c r="U567" i="20" s="1"/>
  <c r="M567" i="20"/>
  <c r="J567" i="20"/>
  <c r="J568" i="20" s="1"/>
  <c r="J569" i="20" s="1"/>
  <c r="O566" i="20"/>
  <c r="Q566" i="20" s="1"/>
  <c r="S566" i="20" s="1"/>
  <c r="U566" i="20" s="1"/>
  <c r="M566" i="20"/>
  <c r="S565" i="20"/>
  <c r="U565" i="20" s="1"/>
  <c r="Q565" i="20"/>
  <c r="S563" i="20"/>
  <c r="U563" i="20" s="1"/>
  <c r="Q563" i="20"/>
  <c r="J563" i="20"/>
  <c r="J573" i="20" s="1"/>
  <c r="S562" i="20"/>
  <c r="U562" i="20" s="1"/>
  <c r="Q562" i="20"/>
  <c r="J562" i="20"/>
  <c r="O560" i="20"/>
  <c r="Q560" i="20" s="1"/>
  <c r="S560" i="20" s="1"/>
  <c r="U560" i="20" s="1"/>
  <c r="J560" i="20"/>
  <c r="O559" i="20"/>
  <c r="Q559" i="20" s="1"/>
  <c r="S559" i="20" s="1"/>
  <c r="U559" i="20" s="1"/>
  <c r="Q557" i="20"/>
  <c r="S557" i="20" s="1"/>
  <c r="U557" i="20" s="1"/>
  <c r="S556" i="20"/>
  <c r="U556" i="20" s="1"/>
  <c r="Q556" i="20"/>
  <c r="Q554" i="20"/>
  <c r="S554" i="20" s="1"/>
  <c r="U554" i="20" s="1"/>
  <c r="S553" i="20"/>
  <c r="U553" i="20" s="1"/>
  <c r="Q553" i="20"/>
  <c r="Q551" i="20"/>
  <c r="S551" i="20" s="1"/>
  <c r="U551" i="20" s="1"/>
  <c r="Q550" i="20"/>
  <c r="S550" i="20" s="1"/>
  <c r="U550" i="20" s="1"/>
  <c r="Q548" i="20"/>
  <c r="S548" i="20" s="1"/>
  <c r="U548" i="20" s="1"/>
  <c r="L548" i="20"/>
  <c r="K548" i="20"/>
  <c r="I548" i="20"/>
  <c r="O546" i="20"/>
  <c r="O545" i="20"/>
  <c r="O544" i="20"/>
  <c r="S542" i="20"/>
  <c r="U542" i="20" s="1"/>
  <c r="Q542" i="20"/>
  <c r="O538" i="20"/>
  <c r="O537" i="20"/>
  <c r="Q536" i="20"/>
  <c r="O535" i="20"/>
  <c r="O534" i="20"/>
  <c r="O533" i="20"/>
  <c r="O532" i="20"/>
  <c r="S531" i="20"/>
  <c r="U531" i="20" s="1"/>
  <c r="Q531" i="20"/>
  <c r="O528" i="20"/>
  <c r="O527" i="20"/>
  <c r="Q525" i="20"/>
  <c r="S525" i="20" s="1"/>
  <c r="U525" i="20" s="1"/>
  <c r="M525" i="20"/>
  <c r="L525" i="20"/>
  <c r="K525" i="20"/>
  <c r="I525" i="20"/>
  <c r="S523" i="20"/>
  <c r="U523" i="20" s="1"/>
  <c r="Q523" i="20"/>
  <c r="O522" i="20"/>
  <c r="O521" i="20"/>
  <c r="O520" i="20"/>
  <c r="O519" i="20"/>
  <c r="S518" i="20"/>
  <c r="U518" i="20" s="1"/>
  <c r="Q518" i="20"/>
  <c r="Q513" i="20"/>
  <c r="S513" i="20" s="1"/>
  <c r="U513" i="20" s="1"/>
  <c r="J512" i="20"/>
  <c r="J513" i="20" s="1"/>
  <c r="M511" i="20"/>
  <c r="J511" i="20"/>
  <c r="S510" i="20"/>
  <c r="U510" i="20" s="1"/>
  <c r="Q510" i="20"/>
  <c r="I510" i="20"/>
  <c r="I511" i="20" s="1"/>
  <c r="O508" i="20"/>
  <c r="O507" i="20"/>
  <c r="O506" i="20"/>
  <c r="O505" i="20"/>
  <c r="J505" i="20"/>
  <c r="M505" i="20" s="1"/>
  <c r="O504" i="20"/>
  <c r="M504" i="20"/>
  <c r="O503" i="20"/>
  <c r="M503" i="20"/>
  <c r="Q502" i="20"/>
  <c r="S502" i="20" s="1"/>
  <c r="U502" i="20" s="1"/>
  <c r="S500" i="20"/>
  <c r="U500" i="20" s="1"/>
  <c r="Q500" i="20"/>
  <c r="Q499" i="20"/>
  <c r="S499" i="20" s="1"/>
  <c r="U499" i="20" s="1"/>
  <c r="O497" i="20"/>
  <c r="M497" i="20"/>
  <c r="Q496" i="20"/>
  <c r="S496" i="20" s="1"/>
  <c r="U496" i="20" s="1"/>
  <c r="S495" i="20"/>
  <c r="U495" i="20" s="1"/>
  <c r="Q495" i="20"/>
  <c r="O493" i="20"/>
  <c r="M493" i="20"/>
  <c r="O492" i="20"/>
  <c r="M492" i="20"/>
  <c r="Q490" i="20"/>
  <c r="S490" i="20" s="1"/>
  <c r="U490" i="20" s="1"/>
  <c r="M489" i="20"/>
  <c r="Q489" i="20" s="1"/>
  <c r="S489" i="20" s="1"/>
  <c r="U489" i="20" s="1"/>
  <c r="M487" i="20"/>
  <c r="Q487" i="20" s="1"/>
  <c r="S487" i="20" s="1"/>
  <c r="U487" i="20" s="1"/>
  <c r="O486" i="20"/>
  <c r="M486" i="20"/>
  <c r="O485" i="20"/>
  <c r="Q485" i="20" s="1"/>
  <c r="S485" i="20" s="1"/>
  <c r="U485" i="20" s="1"/>
  <c r="O484" i="20"/>
  <c r="M484" i="20"/>
  <c r="O483" i="20"/>
  <c r="M483" i="20"/>
  <c r="Q482" i="20"/>
  <c r="S482" i="20" s="1"/>
  <c r="U482" i="20" s="1"/>
  <c r="O481" i="20"/>
  <c r="M481" i="20"/>
  <c r="O480" i="20"/>
  <c r="Q480" i="20" s="1"/>
  <c r="S480" i="20" s="1"/>
  <c r="U480" i="20" s="1"/>
  <c r="M480" i="20"/>
  <c r="S479" i="20"/>
  <c r="U479" i="20" s="1"/>
  <c r="Q479" i="20"/>
  <c r="Q477" i="20"/>
  <c r="S477" i="20" s="1"/>
  <c r="U477" i="20" s="1"/>
  <c r="S476" i="20"/>
  <c r="U476" i="20" s="1"/>
  <c r="Q476" i="20"/>
  <c r="O474" i="20"/>
  <c r="Q474" i="20" s="1"/>
  <c r="S474" i="20" s="1"/>
  <c r="U474" i="20" s="1"/>
  <c r="O473" i="20"/>
  <c r="Q473" i="20" s="1"/>
  <c r="S473" i="20" s="1"/>
  <c r="U473" i="20" s="1"/>
  <c r="J471" i="20"/>
  <c r="O471" i="20" s="1"/>
  <c r="Q471" i="20" s="1"/>
  <c r="S471" i="20" s="1"/>
  <c r="U471" i="20" s="1"/>
  <c r="O470" i="20"/>
  <c r="Q470" i="20" s="1"/>
  <c r="S470" i="20" s="1"/>
  <c r="U470" i="20" s="1"/>
  <c r="J470" i="20"/>
  <c r="O468" i="20"/>
  <c r="Q468" i="20" s="1"/>
  <c r="S468" i="20" s="1"/>
  <c r="U468" i="20" s="1"/>
  <c r="O467" i="20"/>
  <c r="Q467" i="20" s="1"/>
  <c r="S467" i="20" s="1"/>
  <c r="U467" i="20" s="1"/>
  <c r="Q465" i="20"/>
  <c r="S465" i="20" s="1"/>
  <c r="U465" i="20" s="1"/>
  <c r="Q464" i="20"/>
  <c r="S464" i="20" s="1"/>
  <c r="U464" i="20" s="1"/>
  <c r="Q462" i="20"/>
  <c r="S462" i="20" s="1"/>
  <c r="U462" i="20" s="1"/>
  <c r="O460" i="20"/>
  <c r="O459" i="20"/>
  <c r="O458" i="20"/>
  <c r="O457" i="20"/>
  <c r="Q456" i="20"/>
  <c r="S456" i="20" s="1"/>
  <c r="U456" i="20" s="1"/>
  <c r="I453" i="20"/>
  <c r="O452" i="20"/>
  <c r="I452" i="20"/>
  <c r="I451" i="20"/>
  <c r="O451" i="20" s="1"/>
  <c r="O449" i="20"/>
  <c r="O447" i="20"/>
  <c r="Q445" i="20"/>
  <c r="S445" i="20" s="1"/>
  <c r="U445" i="20" s="1"/>
  <c r="S443" i="20"/>
  <c r="U443" i="20" s="1"/>
  <c r="Q443" i="20"/>
  <c r="O442" i="20"/>
  <c r="J442" i="20"/>
  <c r="J443" i="20" s="1"/>
  <c r="J445" i="20" s="1"/>
  <c r="J446" i="20" s="1"/>
  <c r="M441" i="20"/>
  <c r="I441" i="20"/>
  <c r="O441" i="20" s="1"/>
  <c r="Q439" i="20"/>
  <c r="S439" i="20" s="1"/>
  <c r="U439" i="20" s="1"/>
  <c r="S437" i="20"/>
  <c r="U437" i="20" s="1"/>
  <c r="Q437" i="20"/>
  <c r="O436" i="20"/>
  <c r="O435" i="20"/>
  <c r="O434" i="20"/>
  <c r="O433" i="20"/>
  <c r="Q432" i="20"/>
  <c r="S432" i="20" s="1"/>
  <c r="U432" i="20" s="1"/>
  <c r="O430" i="20"/>
  <c r="O429" i="20"/>
  <c r="Q427" i="20"/>
  <c r="S427" i="20" s="1"/>
  <c r="U427" i="20" s="1"/>
  <c r="Q424" i="20"/>
  <c r="S424" i="20" s="1"/>
  <c r="U424" i="20" s="1"/>
  <c r="J420" i="20"/>
  <c r="J421" i="20" s="1"/>
  <c r="M419" i="20"/>
  <c r="J419" i="20"/>
  <c r="I419" i="20"/>
  <c r="O419" i="20" s="1"/>
  <c r="M418" i="20"/>
  <c r="Q417" i="20"/>
  <c r="S417" i="20" s="1"/>
  <c r="U417" i="20" s="1"/>
  <c r="Q414" i="20"/>
  <c r="S414" i="20" s="1"/>
  <c r="U414" i="20" s="1"/>
  <c r="M414" i="20"/>
  <c r="L414" i="20"/>
  <c r="K414" i="20"/>
  <c r="J414" i="20"/>
  <c r="Q413" i="20"/>
  <c r="S413" i="20" s="1"/>
  <c r="U413" i="20" s="1"/>
  <c r="O411" i="20"/>
  <c r="Q411" i="20" s="1"/>
  <c r="S411" i="20" s="1"/>
  <c r="U411" i="20" s="1"/>
  <c r="M411" i="20"/>
  <c r="S410" i="20"/>
  <c r="U410" i="20" s="1"/>
  <c r="Q410" i="20"/>
  <c r="Q409" i="20"/>
  <c r="S409" i="20" s="1"/>
  <c r="U409" i="20" s="1"/>
  <c r="S407" i="20"/>
  <c r="U407" i="20" s="1"/>
  <c r="Q407" i="20"/>
  <c r="O406" i="20"/>
  <c r="Q406" i="20" s="1"/>
  <c r="S406" i="20" s="1"/>
  <c r="U406" i="20" s="1"/>
  <c r="M406" i="20"/>
  <c r="M405" i="20"/>
  <c r="Q405" i="20" s="1"/>
  <c r="S405" i="20" s="1"/>
  <c r="U405" i="20" s="1"/>
  <c r="Q404" i="20"/>
  <c r="S404" i="20" s="1"/>
  <c r="U404" i="20" s="1"/>
  <c r="M404" i="20"/>
  <c r="O403" i="20"/>
  <c r="J403" i="20"/>
  <c r="M403" i="20" s="1"/>
  <c r="M402" i="20"/>
  <c r="Q402" i="20" s="1"/>
  <c r="S402" i="20" s="1"/>
  <c r="U402" i="20" s="1"/>
  <c r="O398" i="20"/>
  <c r="Q393" i="20"/>
  <c r="S393" i="20" s="1"/>
  <c r="U393" i="20" s="1"/>
  <c r="S391" i="20"/>
  <c r="U391" i="20" s="1"/>
  <c r="Q391" i="20"/>
  <c r="Q390" i="20"/>
  <c r="S390" i="20" s="1"/>
  <c r="U390" i="20" s="1"/>
  <c r="S389" i="20"/>
  <c r="U389" i="20" s="1"/>
  <c r="Q389" i="20"/>
  <c r="Q387" i="20"/>
  <c r="S387" i="20" s="1"/>
  <c r="U387" i="20" s="1"/>
  <c r="O386" i="20"/>
  <c r="Q386" i="20" s="1"/>
  <c r="S386" i="20" s="1"/>
  <c r="U386" i="20" s="1"/>
  <c r="O385" i="20"/>
  <c r="Q385" i="20" s="1"/>
  <c r="S385" i="20" s="1"/>
  <c r="U385" i="20" s="1"/>
  <c r="S383" i="20"/>
  <c r="U383" i="20" s="1"/>
  <c r="Q383" i="20"/>
  <c r="O382" i="20"/>
  <c r="O381" i="20"/>
  <c r="Q379" i="20"/>
  <c r="S379" i="20" s="1"/>
  <c r="U379" i="20" s="1"/>
  <c r="M378" i="20"/>
  <c r="J378" i="20"/>
  <c r="J381" i="20" s="1"/>
  <c r="M377" i="20"/>
  <c r="S375" i="20"/>
  <c r="U375" i="20" s="1"/>
  <c r="Q375" i="20"/>
  <c r="S374" i="20"/>
  <c r="U374" i="20" s="1"/>
  <c r="Q374" i="20"/>
  <c r="S373" i="20"/>
  <c r="U373" i="20" s="1"/>
  <c r="Q373" i="20"/>
  <c r="O371" i="20"/>
  <c r="O370" i="20"/>
  <c r="O369" i="20"/>
  <c r="O368" i="20"/>
  <c r="S367" i="20"/>
  <c r="U367" i="20" s="1"/>
  <c r="Q367" i="20"/>
  <c r="O364" i="20"/>
  <c r="O362" i="20"/>
  <c r="O361" i="20"/>
  <c r="O360" i="20"/>
  <c r="Q358" i="20"/>
  <c r="S358" i="20" s="1"/>
  <c r="U358" i="20" s="1"/>
  <c r="O355" i="20"/>
  <c r="O353" i="20"/>
  <c r="O352" i="20"/>
  <c r="S351" i="20"/>
  <c r="U351" i="20" s="1"/>
  <c r="Q351" i="20"/>
  <c r="O349" i="20"/>
  <c r="O348" i="20"/>
  <c r="O347" i="20"/>
  <c r="I347" i="20"/>
  <c r="I346" i="20"/>
  <c r="Q345" i="20"/>
  <c r="S345" i="20" s="1"/>
  <c r="U345" i="20" s="1"/>
  <c r="O342" i="20"/>
  <c r="O340" i="20"/>
  <c r="O339" i="20"/>
  <c r="I338" i="20"/>
  <c r="O338" i="20" s="1"/>
  <c r="I337" i="20"/>
  <c r="Q336" i="20"/>
  <c r="S336" i="20" s="1"/>
  <c r="U336" i="20" s="1"/>
  <c r="Q335" i="20"/>
  <c r="O333" i="20"/>
  <c r="O331" i="20"/>
  <c r="O330" i="20"/>
  <c r="I329" i="20"/>
  <c r="O329" i="20" s="1"/>
  <c r="I328" i="20"/>
  <c r="Q327" i="20"/>
  <c r="S327" i="20" s="1"/>
  <c r="U327" i="20" s="1"/>
  <c r="O324" i="20"/>
  <c r="O322" i="20"/>
  <c r="M322" i="20"/>
  <c r="O321" i="20"/>
  <c r="O320" i="20"/>
  <c r="M320" i="20"/>
  <c r="J320" i="20"/>
  <c r="J321" i="20" s="1"/>
  <c r="O319" i="20"/>
  <c r="M319" i="20"/>
  <c r="M317" i="20"/>
  <c r="M316" i="20"/>
  <c r="O315" i="20"/>
  <c r="O316" i="20" s="1"/>
  <c r="M315" i="20"/>
  <c r="Q315" i="20" s="1"/>
  <c r="S315" i="20" s="1"/>
  <c r="U315" i="20" s="1"/>
  <c r="Q314" i="20"/>
  <c r="S314" i="20" s="1"/>
  <c r="U314" i="20" s="1"/>
  <c r="M314" i="20"/>
  <c r="Q313" i="20"/>
  <c r="O311" i="20"/>
  <c r="Q311" i="20" s="1"/>
  <c r="S311" i="20" s="1"/>
  <c r="U311" i="20" s="1"/>
  <c r="S310" i="20"/>
  <c r="U310" i="20" s="1"/>
  <c r="Q310" i="20"/>
  <c r="P310" i="20"/>
  <c r="P311" i="20" s="1"/>
  <c r="P312" i="20" s="1"/>
  <c r="O310" i="20"/>
  <c r="Q309" i="20"/>
  <c r="S309" i="20" s="1"/>
  <c r="U309" i="20" s="1"/>
  <c r="I304" i="20"/>
  <c r="O304" i="20" s="1"/>
  <c r="I301" i="20"/>
  <c r="O301" i="20" s="1"/>
  <c r="O300" i="20"/>
  <c r="I300" i="20"/>
  <c r="O299" i="20"/>
  <c r="O297" i="20"/>
  <c r="O296" i="20"/>
  <c r="O295" i="20"/>
  <c r="O294" i="20"/>
  <c r="I290" i="20"/>
  <c r="O290" i="20" s="1"/>
  <c r="O289" i="20"/>
  <c r="Q278" i="20"/>
  <c r="Q273" i="20"/>
  <c r="M272" i="20"/>
  <c r="Q271" i="20"/>
  <c r="S271" i="20" s="1"/>
  <c r="U271" i="20" s="1"/>
  <c r="O271" i="20"/>
  <c r="O272" i="20" s="1"/>
  <c r="Q272" i="20" s="1"/>
  <c r="S272" i="20" s="1"/>
  <c r="U272" i="20" s="1"/>
  <c r="M271" i="20"/>
  <c r="O270" i="20"/>
  <c r="M270" i="20"/>
  <c r="Q270" i="20" s="1"/>
  <c r="S270" i="20" s="1"/>
  <c r="U270" i="20" s="1"/>
  <c r="M269" i="20"/>
  <c r="Q269" i="20" s="1"/>
  <c r="S269" i="20" s="1"/>
  <c r="U269" i="20" s="1"/>
  <c r="N255" i="20"/>
  <c r="N256" i="20" s="1"/>
  <c r="N257" i="20" s="1"/>
  <c r="K252" i="20"/>
  <c r="J252" i="20"/>
  <c r="M252" i="20" s="1"/>
  <c r="K251" i="20"/>
  <c r="K256" i="20" s="1"/>
  <c r="J251" i="20"/>
  <c r="J256" i="20" s="1"/>
  <c r="J261" i="20" s="1"/>
  <c r="J266" i="20" s="1"/>
  <c r="K250" i="20"/>
  <c r="K255" i="20" s="1"/>
  <c r="J250" i="20"/>
  <c r="M250" i="20" s="1"/>
  <c r="K249" i="20"/>
  <c r="K254" i="20" s="1"/>
  <c r="J249" i="20"/>
  <c r="J254" i="20" s="1"/>
  <c r="J259" i="20" s="1"/>
  <c r="J264" i="20" s="1"/>
  <c r="M247" i="20"/>
  <c r="M246" i="20"/>
  <c r="O245" i="20"/>
  <c r="M245" i="20"/>
  <c r="I245" i="20"/>
  <c r="I246" i="20" s="1"/>
  <c r="O244" i="20"/>
  <c r="M244" i="20"/>
  <c r="O242" i="20"/>
  <c r="M242" i="20"/>
  <c r="O240" i="20"/>
  <c r="Q240" i="20" s="1"/>
  <c r="S240" i="20" s="1"/>
  <c r="U240" i="20" s="1"/>
  <c r="M240" i="20"/>
  <c r="Q239" i="20"/>
  <c r="S239" i="20" s="1"/>
  <c r="U239" i="20" s="1"/>
  <c r="J236" i="20"/>
  <c r="I236" i="20"/>
  <c r="K235" i="20"/>
  <c r="K236" i="20" s="1"/>
  <c r="M236" i="20" s="1"/>
  <c r="Q236" i="20" s="1"/>
  <c r="S236" i="20" s="1"/>
  <c r="U236" i="20" s="1"/>
  <c r="J235" i="20"/>
  <c r="I235" i="20"/>
  <c r="M234" i="20"/>
  <c r="Q234" i="20" s="1"/>
  <c r="S234" i="20" s="1"/>
  <c r="U234" i="20" s="1"/>
  <c r="Q233" i="20"/>
  <c r="S233" i="20" s="1"/>
  <c r="U233" i="20" s="1"/>
  <c r="Q231" i="20"/>
  <c r="S231" i="20" s="1"/>
  <c r="U231" i="20" s="1"/>
  <c r="Q230" i="20"/>
  <c r="S230" i="20" s="1"/>
  <c r="U230" i="20" s="1"/>
  <c r="Q229" i="20"/>
  <c r="S229" i="20" s="1"/>
  <c r="U229" i="20" s="1"/>
  <c r="I228" i="20"/>
  <c r="I229" i="20" s="1"/>
  <c r="I230" i="20" s="1"/>
  <c r="I231" i="20" s="1"/>
  <c r="K227" i="20"/>
  <c r="K228" i="20" s="1"/>
  <c r="J227" i="20"/>
  <c r="J228" i="20" s="1"/>
  <c r="J229" i="20" s="1"/>
  <c r="J230" i="20" s="1"/>
  <c r="J231" i="20" s="1"/>
  <c r="I227" i="20"/>
  <c r="O227" i="20" s="1"/>
  <c r="O226" i="20"/>
  <c r="Q226" i="20" s="1"/>
  <c r="S226" i="20" s="1"/>
  <c r="U226" i="20" s="1"/>
  <c r="Q224" i="20"/>
  <c r="S224" i="20" s="1"/>
  <c r="U224" i="20" s="1"/>
  <c r="Q223" i="20"/>
  <c r="S223" i="20" s="1"/>
  <c r="U223" i="20" s="1"/>
  <c r="Q222" i="20"/>
  <c r="S222" i="20" s="1"/>
  <c r="U222" i="20" s="1"/>
  <c r="M221" i="20"/>
  <c r="Q221" i="20" s="1"/>
  <c r="S221" i="20" s="1"/>
  <c r="U221" i="20" s="1"/>
  <c r="O220" i="20"/>
  <c r="J220" i="20"/>
  <c r="M220" i="20" s="1"/>
  <c r="O219" i="20"/>
  <c r="Q219" i="20" s="1"/>
  <c r="S219" i="20" s="1"/>
  <c r="U219" i="20" s="1"/>
  <c r="M219" i="20"/>
  <c r="O217" i="20"/>
  <c r="M217" i="20"/>
  <c r="Q217" i="20" s="1"/>
  <c r="S217" i="20" s="1"/>
  <c r="U217" i="20" s="1"/>
  <c r="Q216" i="20"/>
  <c r="S216" i="20" s="1"/>
  <c r="U216" i="20" s="1"/>
  <c r="M216" i="20"/>
  <c r="M215" i="20"/>
  <c r="Q215" i="20" s="1"/>
  <c r="S215" i="20" s="1"/>
  <c r="U215" i="20" s="1"/>
  <c r="Q214" i="20"/>
  <c r="S214" i="20" s="1"/>
  <c r="U214" i="20" s="1"/>
  <c r="M214" i="20"/>
  <c r="S212" i="20"/>
  <c r="U212" i="20" s="1"/>
  <c r="Q212" i="20"/>
  <c r="M212" i="20"/>
  <c r="M211" i="20"/>
  <c r="Q211" i="20" s="1"/>
  <c r="S211" i="20" s="1"/>
  <c r="U211" i="20" s="1"/>
  <c r="Q210" i="20"/>
  <c r="S210" i="20" s="1"/>
  <c r="U210" i="20" s="1"/>
  <c r="M210" i="20"/>
  <c r="M209" i="20"/>
  <c r="Q209" i="20" s="1"/>
  <c r="S209" i="20" s="1"/>
  <c r="U209" i="20" s="1"/>
  <c r="O207" i="20"/>
  <c r="M207" i="20"/>
  <c r="Q207" i="20" s="1"/>
  <c r="S207" i="20" s="1"/>
  <c r="U207" i="20" s="1"/>
  <c r="Q206" i="20"/>
  <c r="S206" i="20" s="1"/>
  <c r="U206" i="20" s="1"/>
  <c r="Q204" i="20"/>
  <c r="S204" i="20" s="1"/>
  <c r="U204" i="20" s="1"/>
  <c r="Q202" i="20"/>
  <c r="S202" i="20" s="1"/>
  <c r="U202" i="20" s="1"/>
  <c r="M202" i="20"/>
  <c r="M201" i="20"/>
  <c r="Q201" i="20" s="1"/>
  <c r="S201" i="20" s="1"/>
  <c r="U201" i="20" s="1"/>
  <c r="Q199" i="20"/>
  <c r="S199" i="20" s="1"/>
  <c r="U199" i="20" s="1"/>
  <c r="Q198" i="20"/>
  <c r="S198" i="20" s="1"/>
  <c r="U198" i="20" s="1"/>
  <c r="Q197" i="20"/>
  <c r="S197" i="20" s="1"/>
  <c r="U197" i="20" s="1"/>
  <c r="S195" i="20"/>
  <c r="U195" i="20" s="1"/>
  <c r="Q195" i="20"/>
  <c r="Q194" i="20"/>
  <c r="S194" i="20" s="1"/>
  <c r="U194" i="20" s="1"/>
  <c r="S193" i="20"/>
  <c r="U193" i="20" s="1"/>
  <c r="Q193" i="20"/>
  <c r="Q192" i="20"/>
  <c r="S192" i="20" s="1"/>
  <c r="U192" i="20" s="1"/>
  <c r="M191" i="20"/>
  <c r="Q191" i="20" s="1"/>
  <c r="S191" i="20" s="1"/>
  <c r="U191" i="20" s="1"/>
  <c r="O189" i="20"/>
  <c r="Q189" i="20" s="1"/>
  <c r="S189" i="20" s="1"/>
  <c r="U189" i="20" s="1"/>
  <c r="M189" i="20"/>
  <c r="Q188" i="20"/>
  <c r="S188" i="20" s="1"/>
  <c r="U188" i="20" s="1"/>
  <c r="S186" i="20"/>
  <c r="U186" i="20" s="1"/>
  <c r="Q186" i="20"/>
  <c r="S184" i="20"/>
  <c r="U184" i="20" s="1"/>
  <c r="Q184" i="20"/>
  <c r="M183" i="20"/>
  <c r="Q183" i="20" s="1"/>
  <c r="S183" i="20" s="1"/>
  <c r="U183" i="20" s="1"/>
  <c r="S181" i="20"/>
  <c r="U181" i="20" s="1"/>
  <c r="Q181" i="20"/>
  <c r="Q180" i="20"/>
  <c r="S180" i="20" s="1"/>
  <c r="U180" i="20" s="1"/>
  <c r="M179" i="20"/>
  <c r="Q179" i="20" s="1"/>
  <c r="S179" i="20" s="1"/>
  <c r="U179" i="20" s="1"/>
  <c r="Q176" i="20"/>
  <c r="S176" i="20" s="1"/>
  <c r="U176" i="20" s="1"/>
  <c r="M176" i="20"/>
  <c r="M175" i="20"/>
  <c r="Q175" i="20" s="1"/>
  <c r="S175" i="20" s="1"/>
  <c r="U175" i="20" s="1"/>
  <c r="M174" i="20"/>
  <c r="Q174" i="20" s="1"/>
  <c r="S174" i="20" s="1"/>
  <c r="U174" i="20" s="1"/>
  <c r="M173" i="20"/>
  <c r="Q173" i="20" s="1"/>
  <c r="S173" i="20" s="1"/>
  <c r="U173" i="20" s="1"/>
  <c r="M171" i="20"/>
  <c r="Q171" i="20" s="1"/>
  <c r="S171" i="20" s="1"/>
  <c r="U171" i="20" s="1"/>
  <c r="M170" i="20"/>
  <c r="Q170" i="20" s="1"/>
  <c r="S170" i="20" s="1"/>
  <c r="U170" i="20" s="1"/>
  <c r="M168" i="20"/>
  <c r="Q168" i="20" s="1"/>
  <c r="S168" i="20" s="1"/>
  <c r="U168" i="20" s="1"/>
  <c r="M167" i="20"/>
  <c r="Q167" i="20" s="1"/>
  <c r="S167" i="20" s="1"/>
  <c r="U167" i="20" s="1"/>
  <c r="M166" i="20"/>
  <c r="Q166" i="20" s="1"/>
  <c r="S166" i="20" s="1"/>
  <c r="U166" i="20" s="1"/>
  <c r="Q165" i="20"/>
  <c r="S165" i="20" s="1"/>
  <c r="U165" i="20" s="1"/>
  <c r="S163" i="20"/>
  <c r="U163" i="20" s="1"/>
  <c r="Q163" i="20"/>
  <c r="M163" i="20"/>
  <c r="M162" i="20"/>
  <c r="Q162" i="20" s="1"/>
  <c r="S162" i="20" s="1"/>
  <c r="U162" i="20" s="1"/>
  <c r="Q161" i="20"/>
  <c r="S161" i="20" s="1"/>
  <c r="U161" i="20" s="1"/>
  <c r="M161" i="20"/>
  <c r="Q160" i="20"/>
  <c r="S160" i="20" s="1"/>
  <c r="U160" i="20" s="1"/>
  <c r="M158" i="20"/>
  <c r="Q158" i="20" s="1"/>
  <c r="S158" i="20" s="1"/>
  <c r="U158" i="20" s="1"/>
  <c r="M157" i="20"/>
  <c r="Q157" i="20" s="1"/>
  <c r="S157" i="20" s="1"/>
  <c r="U157" i="20" s="1"/>
  <c r="Q156" i="20"/>
  <c r="S156" i="20" s="1"/>
  <c r="U156" i="20" s="1"/>
  <c r="M156" i="20"/>
  <c r="M155" i="20"/>
  <c r="Q155" i="20" s="1"/>
  <c r="S155" i="20" s="1"/>
  <c r="U155" i="20" s="1"/>
  <c r="Q154" i="20"/>
  <c r="S154" i="20" s="1"/>
  <c r="U154" i="20" s="1"/>
  <c r="M154" i="20"/>
  <c r="M153" i="20"/>
  <c r="Q153" i="20" s="1"/>
  <c r="S153" i="20" s="1"/>
  <c r="U153" i="20" s="1"/>
  <c r="M152" i="20"/>
  <c r="Q152" i="20" s="1"/>
  <c r="S152" i="20" s="1"/>
  <c r="U152" i="20" s="1"/>
  <c r="M151" i="20"/>
  <c r="Q151" i="20" s="1"/>
  <c r="S151" i="20" s="1"/>
  <c r="U151" i="20" s="1"/>
  <c r="M150" i="20"/>
  <c r="Q150" i="20" s="1"/>
  <c r="S150" i="20" s="1"/>
  <c r="U150" i="20" s="1"/>
  <c r="M149" i="20"/>
  <c r="Q149" i="20" s="1"/>
  <c r="S149" i="20" s="1"/>
  <c r="U149" i="20" s="1"/>
  <c r="M148" i="20"/>
  <c r="Q148" i="20" s="1"/>
  <c r="S148" i="20" s="1"/>
  <c r="U148" i="20" s="1"/>
  <c r="M147" i="20"/>
  <c r="Q147" i="20" s="1"/>
  <c r="S147" i="20" s="1"/>
  <c r="U147" i="20" s="1"/>
  <c r="Q146" i="20"/>
  <c r="S146" i="20" s="1"/>
  <c r="U146" i="20" s="1"/>
  <c r="Q145" i="20"/>
  <c r="S145" i="20" s="1"/>
  <c r="U145" i="20" s="1"/>
  <c r="O143" i="20"/>
  <c r="Q143" i="20" s="1"/>
  <c r="S143" i="20" s="1"/>
  <c r="U143" i="20" s="1"/>
  <c r="S142" i="20"/>
  <c r="U142" i="20" s="1"/>
  <c r="Q142" i="20"/>
  <c r="Q140" i="20"/>
  <c r="S140" i="20" s="1"/>
  <c r="U140" i="20" s="1"/>
  <c r="O138" i="20"/>
  <c r="M137" i="20"/>
  <c r="K137" i="20"/>
  <c r="J137" i="20"/>
  <c r="I137" i="20"/>
  <c r="O137" i="20" s="1"/>
  <c r="K136" i="20"/>
  <c r="J136" i="20"/>
  <c r="M136" i="20" s="1"/>
  <c r="Q136" i="20" s="1"/>
  <c r="S136" i="20" s="1"/>
  <c r="U136" i="20" s="1"/>
  <c r="K135" i="20"/>
  <c r="J135" i="20"/>
  <c r="M135" i="20" s="1"/>
  <c r="I135" i="20"/>
  <c r="Q133" i="20"/>
  <c r="S133" i="20" s="1"/>
  <c r="U133" i="20" s="1"/>
  <c r="M133" i="20"/>
  <c r="M132" i="20"/>
  <c r="Q132" i="20" s="1"/>
  <c r="S132" i="20" s="1"/>
  <c r="U132" i="20" s="1"/>
  <c r="I132" i="20"/>
  <c r="I136" i="20" s="1"/>
  <c r="M131" i="20"/>
  <c r="Q131" i="20" s="1"/>
  <c r="S131" i="20" s="1"/>
  <c r="U131" i="20" s="1"/>
  <c r="Q130" i="20"/>
  <c r="S130" i="20" s="1"/>
  <c r="U130" i="20" s="1"/>
  <c r="Q127" i="20"/>
  <c r="S127" i="20" s="1"/>
  <c r="U127" i="20" s="1"/>
  <c r="J126" i="20"/>
  <c r="M126" i="20" s="1"/>
  <c r="Q126" i="20" s="1"/>
  <c r="S126" i="20" s="1"/>
  <c r="U126" i="20" s="1"/>
  <c r="J125" i="20"/>
  <c r="M125" i="20" s="1"/>
  <c r="Q125" i="20" s="1"/>
  <c r="S125" i="20" s="1"/>
  <c r="U125" i="20" s="1"/>
  <c r="S123" i="20"/>
  <c r="U123" i="20" s="1"/>
  <c r="Q123" i="20"/>
  <c r="Q122" i="20"/>
  <c r="S122" i="20" s="1"/>
  <c r="U122" i="20" s="1"/>
  <c r="Q121" i="20"/>
  <c r="S121" i="20" s="1"/>
  <c r="U121" i="20" s="1"/>
  <c r="Q119" i="20"/>
  <c r="S119" i="20" s="1"/>
  <c r="U119" i="20" s="1"/>
  <c r="S118" i="20"/>
  <c r="U118" i="20" s="1"/>
  <c r="Q118" i="20"/>
  <c r="Q117" i="20"/>
  <c r="S117" i="20" s="1"/>
  <c r="U117" i="20" s="1"/>
  <c r="Q115" i="20"/>
  <c r="S115" i="20" s="1"/>
  <c r="U115" i="20" s="1"/>
  <c r="Q114" i="20"/>
  <c r="O113" i="20"/>
  <c r="M113" i="20"/>
  <c r="Q113" i="20" s="1"/>
  <c r="S113" i="20" s="1"/>
  <c r="U113" i="20" s="1"/>
  <c r="S111" i="20"/>
  <c r="U111" i="20" s="1"/>
  <c r="Q111" i="20"/>
  <c r="Q110" i="20"/>
  <c r="S110" i="20" s="1"/>
  <c r="U110" i="20" s="1"/>
  <c r="I110" i="20"/>
  <c r="I122" i="20" s="1"/>
  <c r="Q109" i="20"/>
  <c r="S109" i="20" s="1"/>
  <c r="U109" i="20" s="1"/>
  <c r="I109" i="20"/>
  <c r="I121" i="20" s="1"/>
  <c r="Q107" i="20"/>
  <c r="Q106" i="20"/>
  <c r="K106" i="20"/>
  <c r="K107" i="20" s="1"/>
  <c r="I106" i="20"/>
  <c r="I118" i="20" s="1"/>
  <c r="S105" i="20"/>
  <c r="U105" i="20" s="1"/>
  <c r="Q105" i="20"/>
  <c r="K105" i="20"/>
  <c r="I105" i="20"/>
  <c r="I117" i="20" s="1"/>
  <c r="K102" i="20"/>
  <c r="K103" i="20" s="1"/>
  <c r="M103" i="20" s="1"/>
  <c r="Q103" i="20" s="1"/>
  <c r="I102" i="20"/>
  <c r="I114" i="20" s="1"/>
  <c r="M101" i="20"/>
  <c r="Q101" i="20" s="1"/>
  <c r="K101" i="20"/>
  <c r="I101" i="20"/>
  <c r="K99" i="20"/>
  <c r="M99" i="20" s="1"/>
  <c r="Q99" i="20" s="1"/>
  <c r="S99" i="20" s="1"/>
  <c r="U99" i="20" s="1"/>
  <c r="Q98" i="20"/>
  <c r="S98" i="20" s="1"/>
  <c r="U98" i="20" s="1"/>
  <c r="M98" i="20"/>
  <c r="M97" i="20"/>
  <c r="Q97" i="20" s="1"/>
  <c r="S97" i="20" s="1"/>
  <c r="U97" i="20" s="1"/>
  <c r="Q95" i="20"/>
  <c r="S95" i="20" s="1"/>
  <c r="U95" i="20" s="1"/>
  <c r="J94" i="20"/>
  <c r="J98" i="20" s="1"/>
  <c r="J93" i="20"/>
  <c r="J97" i="20" s="1"/>
  <c r="S91" i="20"/>
  <c r="U91" i="20" s="1"/>
  <c r="Q91" i="20"/>
  <c r="Q90" i="20"/>
  <c r="S90" i="20" s="1"/>
  <c r="U90" i="20" s="1"/>
  <c r="Q89" i="20"/>
  <c r="S89" i="20" s="1"/>
  <c r="U89" i="20" s="1"/>
  <c r="Q87" i="20"/>
  <c r="S87" i="20" s="1"/>
  <c r="U87" i="20" s="1"/>
  <c r="S86" i="20"/>
  <c r="U86" i="20" s="1"/>
  <c r="Q86" i="20"/>
  <c r="Q85" i="20"/>
  <c r="S85" i="20" s="1"/>
  <c r="U85" i="20" s="1"/>
  <c r="Q83" i="20"/>
  <c r="S83" i="20" s="1"/>
  <c r="U83" i="20" s="1"/>
  <c r="Q82" i="20"/>
  <c r="O81" i="20"/>
  <c r="M81" i="20"/>
  <c r="Q81" i="20" s="1"/>
  <c r="S81" i="20" s="1"/>
  <c r="U81" i="20" s="1"/>
  <c r="S79" i="20"/>
  <c r="U79" i="20" s="1"/>
  <c r="Q79" i="20"/>
  <c r="Q78" i="20"/>
  <c r="S78" i="20" s="1"/>
  <c r="U78" i="20" s="1"/>
  <c r="I78" i="20"/>
  <c r="I90" i="20" s="1"/>
  <c r="Q77" i="20"/>
  <c r="S77" i="20" s="1"/>
  <c r="U77" i="20" s="1"/>
  <c r="I77" i="20"/>
  <c r="I89" i="20" s="1"/>
  <c r="Q75" i="20"/>
  <c r="Q74" i="20"/>
  <c r="K74" i="20"/>
  <c r="K75" i="20" s="1"/>
  <c r="I74" i="20"/>
  <c r="I86" i="20" s="1"/>
  <c r="S73" i="20"/>
  <c r="U73" i="20" s="1"/>
  <c r="Q73" i="20"/>
  <c r="K73" i="20"/>
  <c r="I73" i="20"/>
  <c r="I85" i="20" s="1"/>
  <c r="M70" i="20"/>
  <c r="Q70" i="20" s="1"/>
  <c r="K70" i="20"/>
  <c r="K71" i="20" s="1"/>
  <c r="M71" i="20" s="1"/>
  <c r="Q71" i="20" s="1"/>
  <c r="I70" i="20"/>
  <c r="I82" i="20" s="1"/>
  <c r="M69" i="20"/>
  <c r="Q69" i="20" s="1"/>
  <c r="K69" i="20"/>
  <c r="I69" i="20"/>
  <c r="M67" i="20"/>
  <c r="Q67" i="20" s="1"/>
  <c r="S67" i="20" s="1"/>
  <c r="U67" i="20" s="1"/>
  <c r="K67" i="20"/>
  <c r="Q66" i="20"/>
  <c r="S66" i="20" s="1"/>
  <c r="U66" i="20" s="1"/>
  <c r="M66" i="20"/>
  <c r="Q65" i="20"/>
  <c r="S65" i="20" s="1"/>
  <c r="U65" i="20" s="1"/>
  <c r="M65" i="20"/>
  <c r="O62" i="20"/>
  <c r="Q62" i="20" s="1"/>
  <c r="S62" i="20" s="1"/>
  <c r="U62" i="20" s="1"/>
  <c r="O61" i="20"/>
  <c r="I61" i="20"/>
  <c r="Q60" i="20"/>
  <c r="S60" i="20" s="1"/>
  <c r="U60" i="20" s="1"/>
  <c r="I60" i="20"/>
  <c r="Q59" i="20"/>
  <c r="S59" i="20" s="1"/>
  <c r="U59" i="20" s="1"/>
  <c r="I59" i="20"/>
  <c r="O58" i="20"/>
  <c r="I58" i="20"/>
  <c r="O57" i="20"/>
  <c r="J57" i="20"/>
  <c r="J58" i="20" s="1"/>
  <c r="I57" i="20"/>
  <c r="Q55" i="20"/>
  <c r="S55" i="20" s="1"/>
  <c r="U55" i="20" s="1"/>
  <c r="I55" i="20"/>
  <c r="S54" i="20"/>
  <c r="U54" i="20" s="1"/>
  <c r="Q54" i="20"/>
  <c r="O51" i="20"/>
  <c r="I51" i="20"/>
  <c r="Q50" i="20"/>
  <c r="S50" i="20" s="1"/>
  <c r="U50" i="20" s="1"/>
  <c r="I50" i="20"/>
  <c r="S49" i="20"/>
  <c r="U49" i="20" s="1"/>
  <c r="Q49" i="20"/>
  <c r="I49" i="20"/>
  <c r="O48" i="20"/>
  <c r="J48" i="20"/>
  <c r="J51" i="20" s="1"/>
  <c r="M51" i="20" s="1"/>
  <c r="Q51" i="20" s="1"/>
  <c r="S51" i="20" s="1"/>
  <c r="U51" i="20" s="1"/>
  <c r="I48" i="20"/>
  <c r="O47" i="20"/>
  <c r="I47" i="20"/>
  <c r="M47" i="20" s="1"/>
  <c r="Q47" i="20" s="1"/>
  <c r="S47" i="20" s="1"/>
  <c r="U47" i="20" s="1"/>
  <c r="Q45" i="20"/>
  <c r="S45" i="20" s="1"/>
  <c r="U45" i="20" s="1"/>
  <c r="I45" i="20"/>
  <c r="S44" i="20"/>
  <c r="U44" i="20" s="1"/>
  <c r="Q44" i="20"/>
  <c r="O41" i="20"/>
  <c r="O40" i="20"/>
  <c r="J40" i="20"/>
  <c r="J41" i="20" s="1"/>
  <c r="O39" i="20"/>
  <c r="M39" i="20"/>
  <c r="U38" i="20"/>
  <c r="S38" i="20"/>
  <c r="Q38" i="20"/>
  <c r="Q37" i="20"/>
  <c r="S37" i="20" s="1"/>
  <c r="U37" i="20" s="1"/>
  <c r="U36" i="20"/>
  <c r="S36" i="20"/>
  <c r="Q36" i="20"/>
  <c r="Q35" i="20"/>
  <c r="S35" i="20" s="1"/>
  <c r="U35" i="20" s="1"/>
  <c r="U34" i="20"/>
  <c r="S34" i="20"/>
  <c r="Q34" i="20"/>
  <c r="Q33" i="20"/>
  <c r="S33" i="20" s="1"/>
  <c r="U33" i="20" s="1"/>
  <c r="U32" i="20"/>
  <c r="S32" i="20"/>
  <c r="Q32" i="20"/>
  <c r="Q31" i="20"/>
  <c r="S31" i="20" s="1"/>
  <c r="U31" i="20" s="1"/>
  <c r="O30" i="20"/>
  <c r="M30" i="20"/>
  <c r="J30" i="20"/>
  <c r="J31" i="20" s="1"/>
  <c r="J32" i="20" s="1"/>
  <c r="J33" i="20" s="1"/>
  <c r="J34" i="20" s="1"/>
  <c r="J35" i="20" s="1"/>
  <c r="J36" i="20" s="1"/>
  <c r="J37" i="20" s="1"/>
  <c r="J38" i="20" s="1"/>
  <c r="U29" i="20"/>
  <c r="S29" i="20"/>
  <c r="O28" i="20"/>
  <c r="M28" i="20"/>
  <c r="S27" i="20"/>
  <c r="U27" i="20" s="1"/>
  <c r="Q27" i="20"/>
  <c r="D2" i="20"/>
  <c r="D3" i="20" s="1"/>
  <c r="C1" i="20"/>
  <c r="O1200" i="15" l="1"/>
  <c r="Q1200" i="15" s="1"/>
  <c r="S1200" i="15" s="1"/>
  <c r="Q349" i="24"/>
  <c r="Q487" i="24"/>
  <c r="Q520" i="24"/>
  <c r="Q907" i="24"/>
  <c r="Q1120" i="24"/>
  <c r="Q571" i="24"/>
  <c r="Q1021" i="24"/>
  <c r="Q1024" i="24"/>
  <c r="Q1112" i="24"/>
  <c r="O1173" i="15"/>
  <c r="O1195" i="15"/>
  <c r="O1197" i="15"/>
  <c r="Q300" i="24"/>
  <c r="Q412" i="24"/>
  <c r="Q482" i="24"/>
  <c r="Q595" i="24"/>
  <c r="Q837" i="24"/>
  <c r="Q957" i="24"/>
  <c r="Q1053" i="24"/>
  <c r="Q1205" i="24"/>
  <c r="O1194" i="15"/>
  <c r="Q1194" i="15" s="1"/>
  <c r="S1194" i="15" s="1"/>
  <c r="O1198" i="15"/>
  <c r="Q567" i="24"/>
  <c r="Q504" i="15"/>
  <c r="S504" i="15" s="1"/>
  <c r="Q481" i="20"/>
  <c r="S481" i="20" s="1"/>
  <c r="U481" i="20" s="1"/>
  <c r="Q401" i="24"/>
  <c r="Q544" i="24"/>
  <c r="O394" i="20"/>
  <c r="O399" i="20"/>
  <c r="O448" i="20"/>
  <c r="O543" i="20"/>
  <c r="O976" i="20"/>
  <c r="O995" i="20"/>
  <c r="O1012" i="20"/>
  <c r="O1017" i="20"/>
  <c r="O1065" i="20"/>
  <c r="O240" i="15"/>
  <c r="O346" i="15"/>
  <c r="O377" i="15"/>
  <c r="Q377" i="15" s="1"/>
  <c r="S377" i="15" s="1"/>
  <c r="O396" i="15"/>
  <c r="O759" i="15"/>
  <c r="Q759" i="15" s="1"/>
  <c r="S759" i="15" s="1"/>
  <c r="O977" i="15"/>
  <c r="O1013" i="15"/>
  <c r="O1018" i="15"/>
  <c r="O1036" i="15"/>
  <c r="Q1036" i="15" s="1"/>
  <c r="S1036" i="15" s="1"/>
  <c r="Q29" i="24"/>
  <c r="Q40" i="24"/>
  <c r="Q142" i="24"/>
  <c r="S142" i="24" s="1"/>
  <c r="U142" i="24" s="1"/>
  <c r="Q220" i="24"/>
  <c r="Q241" i="24"/>
  <c r="Q303" i="24"/>
  <c r="Q329" i="24"/>
  <c r="Q362" i="24"/>
  <c r="Q369" i="24"/>
  <c r="Q378" i="24"/>
  <c r="Q397" i="24"/>
  <c r="Q434" i="24"/>
  <c r="Q447" i="24"/>
  <c r="Q458" i="24"/>
  <c r="Q485" i="24"/>
  <c r="Q568" i="24"/>
  <c r="Q573" i="24"/>
  <c r="S573" i="24" s="1"/>
  <c r="U573" i="24" s="1"/>
  <c r="Q593" i="24"/>
  <c r="Q908" i="24"/>
  <c r="Q948" i="24"/>
  <c r="Q977" i="24"/>
  <c r="Q988" i="24"/>
  <c r="Q996" i="24"/>
  <c r="Q1012" i="24"/>
  <c r="Q1017" i="24"/>
  <c r="Q1029" i="24"/>
  <c r="Q1064" i="24"/>
  <c r="Q1075" i="24"/>
  <c r="Q1098" i="24"/>
  <c r="Q1108" i="24"/>
  <c r="Q1149" i="24"/>
  <c r="Q1162" i="24"/>
  <c r="Q1173" i="24"/>
  <c r="Q1197" i="24"/>
  <c r="Q338" i="24"/>
  <c r="Q533" i="24"/>
  <c r="Q759" i="24"/>
  <c r="S759" i="24" s="1"/>
  <c r="U759" i="24" s="1"/>
  <c r="Q964" i="24"/>
  <c r="Q1016" i="24"/>
  <c r="O359" i="20"/>
  <c r="O346" i="20"/>
  <c r="O378" i="20"/>
  <c r="O395" i="20"/>
  <c r="O400" i="20"/>
  <c r="O758" i="20"/>
  <c r="Q758" i="20" s="1"/>
  <c r="S758" i="20" s="1"/>
  <c r="U758" i="20" s="1"/>
  <c r="O857" i="20"/>
  <c r="O1013" i="20"/>
  <c r="O1035" i="20"/>
  <c r="O1074" i="20"/>
  <c r="O143" i="15"/>
  <c r="Q143" i="15" s="1"/>
  <c r="S143" i="15" s="1"/>
  <c r="O359" i="15"/>
  <c r="O398" i="15"/>
  <c r="O446" i="15"/>
  <c r="O858" i="15"/>
  <c r="O946" i="15"/>
  <c r="O996" i="15"/>
  <c r="O1014" i="15"/>
  <c r="O1064" i="15"/>
  <c r="O1075" i="15"/>
  <c r="O1160" i="15"/>
  <c r="O1171" i="15"/>
  <c r="Q290" i="24"/>
  <c r="Q340" i="24"/>
  <c r="Q347" i="24"/>
  <c r="Q399" i="24"/>
  <c r="Q481" i="24"/>
  <c r="Q522" i="24"/>
  <c r="Q535" i="24"/>
  <c r="Q546" i="24"/>
  <c r="Q761" i="24"/>
  <c r="S761" i="24" s="1"/>
  <c r="U761" i="24" s="1"/>
  <c r="Q917" i="24"/>
  <c r="Q955" i="24"/>
  <c r="Q966" i="24"/>
  <c r="Q1013" i="24"/>
  <c r="Q1018" i="24"/>
  <c r="Q1051" i="24"/>
  <c r="Q1111" i="24"/>
  <c r="Q1121" i="24"/>
  <c r="Q1125" i="24"/>
  <c r="Q1194" i="24"/>
  <c r="Q1198" i="24"/>
  <c r="Q396" i="24"/>
  <c r="Q504" i="24"/>
  <c r="O141" i="20"/>
  <c r="Q141" i="20" s="1"/>
  <c r="S141" i="20" s="1"/>
  <c r="U141" i="20" s="1"/>
  <c r="O328" i="20"/>
  <c r="O337" i="20"/>
  <c r="O377" i="20"/>
  <c r="O396" i="20"/>
  <c r="O418" i="20"/>
  <c r="O446" i="20"/>
  <c r="O945" i="20"/>
  <c r="O963" i="20"/>
  <c r="O985" i="20"/>
  <c r="O994" i="20"/>
  <c r="O1015" i="20"/>
  <c r="O1063" i="20"/>
  <c r="O1130" i="20"/>
  <c r="Q1130" i="20" s="1"/>
  <c r="S1130" i="20" s="1"/>
  <c r="U1130" i="20" s="1"/>
  <c r="O328" i="15"/>
  <c r="O337" i="15"/>
  <c r="O394" i="15"/>
  <c r="O399" i="15"/>
  <c r="O964" i="15"/>
  <c r="O986" i="15"/>
  <c r="O1016" i="15"/>
  <c r="O1131" i="15"/>
  <c r="Q1131" i="15" s="1"/>
  <c r="S1131" i="15" s="1"/>
  <c r="L117" i="11"/>
  <c r="N117" i="11" s="1"/>
  <c r="Q144" i="24"/>
  <c r="S144" i="24" s="1"/>
  <c r="U144" i="24" s="1"/>
  <c r="Q292" i="24"/>
  <c r="Q331" i="24"/>
  <c r="Q360" i="24"/>
  <c r="Q371" i="24"/>
  <c r="Q379" i="24"/>
  <c r="Q395" i="24"/>
  <c r="Q400" i="24"/>
  <c r="Q404" i="24"/>
  <c r="Q407" i="24"/>
  <c r="Q449" i="24"/>
  <c r="Q460" i="24"/>
  <c r="Q484" i="24"/>
  <c r="Q494" i="24"/>
  <c r="Q570" i="24"/>
  <c r="Q646" i="24"/>
  <c r="Q858" i="24"/>
  <c r="Q918" i="24"/>
  <c r="Q946" i="24"/>
  <c r="Q979" i="24"/>
  <c r="Q986" i="24"/>
  <c r="Q995" i="24"/>
  <c r="Q1014" i="24"/>
  <c r="Q1036" i="24"/>
  <c r="Q1147" i="24"/>
  <c r="Q1160" i="24"/>
  <c r="L159" i="11"/>
  <c r="N159" i="11" s="1"/>
  <c r="Q566" i="15"/>
  <c r="S566" i="15" s="1"/>
  <c r="S665" i="24"/>
  <c r="U665" i="24" s="1"/>
  <c r="S1262" i="24"/>
  <c r="U1262" i="24" s="1"/>
  <c r="O870" i="24"/>
  <c r="S935" i="24"/>
  <c r="U935" i="24" s="1"/>
  <c r="N113" i="8"/>
  <c r="P113" i="8" s="1"/>
  <c r="Q441" i="15"/>
  <c r="S441" i="15" s="1"/>
  <c r="Q242" i="15"/>
  <c r="S242" i="15" s="1"/>
  <c r="Q138" i="15"/>
  <c r="S138" i="15" s="1"/>
  <c r="Q579" i="20"/>
  <c r="S579" i="20" s="1"/>
  <c r="U579" i="20" s="1"/>
  <c r="Q594" i="20"/>
  <c r="S594" i="20" s="1"/>
  <c r="U594" i="20" s="1"/>
  <c r="L268" i="11"/>
  <c r="N268" i="11" s="1"/>
  <c r="Q594" i="15"/>
  <c r="S594" i="15" s="1"/>
  <c r="N50" i="8"/>
  <c r="P50" i="8" s="1"/>
  <c r="Q322" i="15"/>
  <c r="S322" i="15" s="1"/>
  <c r="Q1131" i="20"/>
  <c r="S1131" i="20" s="1"/>
  <c r="U1131" i="20" s="1"/>
  <c r="Q322" i="20"/>
  <c r="S322" i="20" s="1"/>
  <c r="U322" i="20" s="1"/>
  <c r="Q377" i="20"/>
  <c r="S377" i="20" s="1"/>
  <c r="U377" i="20" s="1"/>
  <c r="Q1111" i="15"/>
  <c r="S1111" i="15" s="1"/>
  <c r="L310" i="11"/>
  <c r="N310" i="11" s="1"/>
  <c r="L312" i="11"/>
  <c r="N312" i="11" s="1"/>
  <c r="N48" i="8"/>
  <c r="P48" i="8" s="1"/>
  <c r="N115" i="8"/>
  <c r="P115" i="8" s="1"/>
  <c r="Q245" i="20"/>
  <c r="S245" i="20" s="1"/>
  <c r="U245" i="20" s="1"/>
  <c r="Q493" i="20"/>
  <c r="S493" i="20" s="1"/>
  <c r="U493" i="20" s="1"/>
  <c r="Q861" i="20"/>
  <c r="S861" i="20" s="1"/>
  <c r="U861" i="20" s="1"/>
  <c r="Q936" i="20"/>
  <c r="S936" i="20" s="1"/>
  <c r="U936" i="20" s="1"/>
  <c r="Q1020" i="20"/>
  <c r="S1020" i="20" s="1"/>
  <c r="U1020" i="20" s="1"/>
  <c r="Q481" i="15"/>
  <c r="S481" i="15" s="1"/>
  <c r="L157" i="11"/>
  <c r="N157" i="11" s="1"/>
  <c r="Q418" i="20"/>
  <c r="S418" i="20" s="1"/>
  <c r="U418" i="20" s="1"/>
  <c r="Q940" i="15"/>
  <c r="S940" i="15" s="1"/>
  <c r="L346" i="11"/>
  <c r="N346" i="11" s="1"/>
  <c r="N69" i="8"/>
  <c r="P69" i="8" s="1"/>
  <c r="N77" i="8"/>
  <c r="P77" i="8" s="1"/>
  <c r="N79" i="8"/>
  <c r="P79" i="8" s="1"/>
  <c r="N203" i="8"/>
  <c r="P203" i="8" s="1"/>
  <c r="N205" i="8"/>
  <c r="P205" i="8" s="1"/>
  <c r="Q39" i="20"/>
  <c r="S39" i="20" s="1"/>
  <c r="U39" i="20" s="1"/>
  <c r="Q220" i="20"/>
  <c r="S220" i="20" s="1"/>
  <c r="U220" i="20" s="1"/>
  <c r="Q492" i="20"/>
  <c r="S492" i="20" s="1"/>
  <c r="U492" i="20" s="1"/>
  <c r="Q1098" i="15"/>
  <c r="S1098" i="15" s="1"/>
  <c r="Q493" i="15"/>
  <c r="S493" i="15" s="1"/>
  <c r="L264" i="11"/>
  <c r="N264" i="11" s="1"/>
  <c r="N97" i="8"/>
  <c r="P97" i="8" s="1"/>
  <c r="N106" i="8"/>
  <c r="P106" i="8" s="1"/>
  <c r="N159" i="8"/>
  <c r="P159" i="8" s="1"/>
  <c r="N163" i="8"/>
  <c r="P163" i="8" s="1"/>
  <c r="N174" i="8"/>
  <c r="P174" i="8" s="1"/>
  <c r="Q319" i="20"/>
  <c r="S319" i="20" s="1"/>
  <c r="U319" i="20" s="1"/>
  <c r="Q403" i="20"/>
  <c r="S403" i="20" s="1"/>
  <c r="U403" i="20" s="1"/>
  <c r="Q441" i="20"/>
  <c r="S441" i="20" s="1"/>
  <c r="U441" i="20" s="1"/>
  <c r="Q836" i="20"/>
  <c r="S836" i="20" s="1"/>
  <c r="U836" i="20" s="1"/>
  <c r="Q939" i="20"/>
  <c r="S939" i="20" s="1"/>
  <c r="U939" i="20" s="1"/>
  <c r="Q1194" i="20"/>
  <c r="S1194" i="20" s="1"/>
  <c r="U1194" i="20" s="1"/>
  <c r="Q219" i="15"/>
  <c r="S219" i="15" s="1"/>
  <c r="L228" i="11"/>
  <c r="N228" i="11" s="1"/>
  <c r="N19" i="8"/>
  <c r="P19" i="8" s="1"/>
  <c r="N262" i="8"/>
  <c r="P262" i="8" s="1"/>
  <c r="Q486" i="15"/>
  <c r="S486" i="15" s="1"/>
  <c r="Q503" i="15"/>
  <c r="S503" i="15" s="1"/>
  <c r="Q567" i="15"/>
  <c r="S567" i="15" s="1"/>
  <c r="Q614" i="15"/>
  <c r="S614" i="15" s="1"/>
  <c r="L113" i="11"/>
  <c r="N113" i="11" s="1"/>
  <c r="L156" i="11"/>
  <c r="N156" i="11" s="1"/>
  <c r="L158" i="11"/>
  <c r="N158" i="11" s="1"/>
  <c r="L169" i="11"/>
  <c r="N169" i="11" s="1"/>
  <c r="N204" i="8"/>
  <c r="P204" i="8" s="1"/>
  <c r="S837" i="24"/>
  <c r="U837" i="24" s="1"/>
  <c r="Q1193" i="20"/>
  <c r="S1193" i="20" s="1"/>
  <c r="U1193" i="20" s="1"/>
  <c r="Q39" i="15"/>
  <c r="S39" i="15" s="1"/>
  <c r="Q1029" i="15"/>
  <c r="S1029" i="15" s="1"/>
  <c r="Q1125" i="15"/>
  <c r="S1125" i="15" s="1"/>
  <c r="Q1207" i="15"/>
  <c r="S1207" i="15" s="1"/>
  <c r="Q1242" i="15"/>
  <c r="S1242" i="15" s="1"/>
  <c r="L227" i="11"/>
  <c r="N227" i="11" s="1"/>
  <c r="L229" i="11"/>
  <c r="N229" i="11" s="1"/>
  <c r="L237" i="11"/>
  <c r="N237" i="11" s="1"/>
  <c r="L394" i="11"/>
  <c r="N394" i="11" s="1"/>
  <c r="L396" i="11"/>
  <c r="N396" i="11" s="1"/>
  <c r="L398" i="11"/>
  <c r="N398" i="11" s="1"/>
  <c r="N7" i="8"/>
  <c r="P7" i="8" s="1"/>
  <c r="N10" i="8"/>
  <c r="P10" i="8" s="1"/>
  <c r="N12" i="8"/>
  <c r="P12" i="8" s="1"/>
  <c r="N15" i="8"/>
  <c r="P15" i="8" s="1"/>
  <c r="N18" i="8"/>
  <c r="P18" i="8" s="1"/>
  <c r="N20" i="8"/>
  <c r="P20" i="8" s="1"/>
  <c r="N153" i="8"/>
  <c r="P153" i="8" s="1"/>
  <c r="N316" i="8"/>
  <c r="P316" i="8" s="1"/>
  <c r="N67" i="8"/>
  <c r="P67" i="8" s="1"/>
  <c r="P400" i="8"/>
  <c r="N392" i="11"/>
  <c r="Q28" i="20"/>
  <c r="S28" i="20" s="1"/>
  <c r="U28" i="20" s="1"/>
  <c r="Q244" i="20"/>
  <c r="S244" i="20" s="1"/>
  <c r="U244" i="20" s="1"/>
  <c r="Q30" i="20"/>
  <c r="S30" i="20" s="1"/>
  <c r="U30" i="20" s="1"/>
  <c r="Q1204" i="20"/>
  <c r="S1204" i="20" s="1"/>
  <c r="U1204" i="20" s="1"/>
  <c r="Q1206" i="20"/>
  <c r="S1206" i="20" s="1"/>
  <c r="U1206" i="20" s="1"/>
  <c r="Q41" i="15"/>
  <c r="S41" i="15" s="1"/>
  <c r="Q378" i="15"/>
  <c r="S378" i="15" s="1"/>
  <c r="Q418" i="15"/>
  <c r="S418" i="15" s="1"/>
  <c r="Q1114" i="15"/>
  <c r="S1114" i="15" s="1"/>
  <c r="L308" i="11"/>
  <c r="N308" i="11" s="1"/>
  <c r="L324" i="11"/>
  <c r="N324" i="11" s="1"/>
  <c r="L347" i="11"/>
  <c r="N347" i="11" s="1"/>
  <c r="L395" i="11"/>
  <c r="N395" i="11" s="1"/>
  <c r="L397" i="11"/>
  <c r="N397" i="11" s="1"/>
  <c r="L399" i="11"/>
  <c r="N399" i="11" s="1"/>
  <c r="N6" i="8"/>
  <c r="P6" i="8" s="1"/>
  <c r="N8" i="8"/>
  <c r="P8" i="8" s="1"/>
  <c r="N11" i="8"/>
  <c r="P11" i="8" s="1"/>
  <c r="N14" i="8"/>
  <c r="P14" i="8" s="1"/>
  <c r="N16" i="8"/>
  <c r="P16" i="8" s="1"/>
  <c r="N68" i="8"/>
  <c r="P68" i="8" s="1"/>
  <c r="N70" i="8"/>
  <c r="P70" i="8" s="1"/>
  <c r="N78" i="8"/>
  <c r="P78" i="8" s="1"/>
  <c r="N80" i="8"/>
  <c r="P80" i="8" s="1"/>
  <c r="N98" i="8"/>
  <c r="P98" i="8" s="1"/>
  <c r="N105" i="8"/>
  <c r="P105" i="8" s="1"/>
  <c r="N117" i="8"/>
  <c r="P117" i="8" s="1"/>
  <c r="N156" i="8"/>
  <c r="P156" i="8" s="1"/>
  <c r="N158" i="8"/>
  <c r="P158" i="8" s="1"/>
  <c r="Q242" i="20"/>
  <c r="S242" i="20" s="1"/>
  <c r="U242" i="20" s="1"/>
  <c r="Q378" i="20"/>
  <c r="S378" i="20" s="1"/>
  <c r="U378" i="20" s="1"/>
  <c r="Q484" i="20"/>
  <c r="S484" i="20" s="1"/>
  <c r="U484" i="20" s="1"/>
  <c r="Q486" i="20"/>
  <c r="S486" i="20" s="1"/>
  <c r="U486" i="20" s="1"/>
  <c r="Q497" i="20"/>
  <c r="S497" i="20" s="1"/>
  <c r="U497" i="20" s="1"/>
  <c r="Q504" i="20"/>
  <c r="S504" i="20" s="1"/>
  <c r="U504" i="20" s="1"/>
  <c r="Q580" i="20"/>
  <c r="S580" i="20" s="1"/>
  <c r="U580" i="20" s="1"/>
  <c r="Q614" i="20"/>
  <c r="S614" i="20" s="1"/>
  <c r="U614" i="20" s="1"/>
  <c r="Q656" i="20"/>
  <c r="S656" i="20" s="1"/>
  <c r="U656" i="20" s="1"/>
  <c r="Q994" i="20"/>
  <c r="S994" i="20" s="1"/>
  <c r="U994" i="20" s="1"/>
  <c r="Q1023" i="20"/>
  <c r="S1023" i="20" s="1"/>
  <c r="U1023" i="20" s="1"/>
  <c r="Q1035" i="20"/>
  <c r="S1035" i="20" s="1"/>
  <c r="U1035" i="20" s="1"/>
  <c r="Q1097" i="20"/>
  <c r="S1097" i="20" s="1"/>
  <c r="U1097" i="20" s="1"/>
  <c r="Q1111" i="20"/>
  <c r="S1111" i="20" s="1"/>
  <c r="U1111" i="20" s="1"/>
  <c r="Q1124" i="20"/>
  <c r="S1124" i="20" s="1"/>
  <c r="U1124" i="20" s="1"/>
  <c r="Q1132" i="20"/>
  <c r="S1132" i="20" s="1"/>
  <c r="U1132" i="20" s="1"/>
  <c r="Q40" i="15"/>
  <c r="S40" i="15" s="1"/>
  <c r="Q227" i="15"/>
  <c r="S227" i="15" s="1"/>
  <c r="Q240" i="15"/>
  <c r="S240" i="15" s="1"/>
  <c r="Q320" i="15"/>
  <c r="S320" i="15" s="1"/>
  <c r="Q484" i="15"/>
  <c r="S484" i="15" s="1"/>
  <c r="Q646" i="15"/>
  <c r="S646" i="15" s="1"/>
  <c r="Q844" i="15"/>
  <c r="S844" i="15" s="1"/>
  <c r="Q860" i="15"/>
  <c r="S860" i="15" s="1"/>
  <c r="Q939" i="15"/>
  <c r="S939" i="15" s="1"/>
  <c r="Q1101" i="15"/>
  <c r="S1101" i="15" s="1"/>
  <c r="Q1121" i="15"/>
  <c r="S1121" i="15" s="1"/>
  <c r="Q1132" i="15"/>
  <c r="S1132" i="15" s="1"/>
  <c r="Q1195" i="15"/>
  <c r="S1195" i="15" s="1"/>
  <c r="Q1205" i="15"/>
  <c r="S1205" i="15" s="1"/>
  <c r="Q1222" i="15"/>
  <c r="S1222" i="15" s="1"/>
  <c r="L6" i="11"/>
  <c r="N6" i="11" s="1"/>
  <c r="L8" i="11"/>
  <c r="N8" i="11" s="1"/>
  <c r="L154" i="11"/>
  <c r="N154" i="11" s="1"/>
  <c r="L174" i="11"/>
  <c r="N174" i="11" s="1"/>
  <c r="L209" i="11"/>
  <c r="N209" i="11" s="1"/>
  <c r="L225" i="11"/>
  <c r="N225" i="11" s="1"/>
  <c r="L263" i="11"/>
  <c r="N263" i="11" s="1"/>
  <c r="L304" i="11"/>
  <c r="N304" i="11" s="1"/>
  <c r="L306" i="11"/>
  <c r="N306" i="11" s="1"/>
  <c r="L311" i="11"/>
  <c r="N311" i="11" s="1"/>
  <c r="N28" i="8"/>
  <c r="P28" i="8" s="1"/>
  <c r="N30" i="8"/>
  <c r="P30" i="8" s="1"/>
  <c r="N33" i="8"/>
  <c r="P33" i="8" s="1"/>
  <c r="N35" i="8"/>
  <c r="P35" i="8" s="1"/>
  <c r="N38" i="8"/>
  <c r="P38" i="8" s="1"/>
  <c r="N40" i="8"/>
  <c r="P40" i="8" s="1"/>
  <c r="N47" i="8"/>
  <c r="P47" i="8" s="1"/>
  <c r="N49" i="8"/>
  <c r="P49" i="8" s="1"/>
  <c r="N154" i="8"/>
  <c r="P154" i="8" s="1"/>
  <c r="N213" i="8"/>
  <c r="N315" i="8"/>
  <c r="P315" i="8" s="1"/>
  <c r="N386" i="8"/>
  <c r="P386" i="8" s="1"/>
  <c r="N388" i="8"/>
  <c r="P388" i="8" s="1"/>
  <c r="N390" i="8"/>
  <c r="P390" i="8" s="1"/>
  <c r="S844" i="24"/>
  <c r="U844" i="24" s="1"/>
  <c r="N157" i="8"/>
  <c r="P157" i="8" s="1"/>
  <c r="N261" i="8"/>
  <c r="P261" i="8" s="1"/>
  <c r="N268" i="8"/>
  <c r="P268" i="8" s="1"/>
  <c r="N314" i="8"/>
  <c r="P314" i="8" s="1"/>
  <c r="Q320" i="20"/>
  <c r="S320" i="20" s="1"/>
  <c r="U320" i="20" s="1"/>
  <c r="Q483" i="20"/>
  <c r="S483" i="20" s="1"/>
  <c r="U483" i="20" s="1"/>
  <c r="Q503" i="20"/>
  <c r="S503" i="20" s="1"/>
  <c r="U503" i="20" s="1"/>
  <c r="Q505" i="20"/>
  <c r="S505" i="20" s="1"/>
  <c r="U505" i="20" s="1"/>
  <c r="Q577" i="20"/>
  <c r="S577" i="20" s="1"/>
  <c r="U577" i="20" s="1"/>
  <c r="Q837" i="20"/>
  <c r="S837" i="20" s="1"/>
  <c r="U837" i="20" s="1"/>
  <c r="Q857" i="20"/>
  <c r="S857" i="20" s="1"/>
  <c r="U857" i="20" s="1"/>
  <c r="Q862" i="20"/>
  <c r="S862" i="20" s="1"/>
  <c r="U862" i="20" s="1"/>
  <c r="Q937" i="20"/>
  <c r="S937" i="20" s="1"/>
  <c r="U937" i="20" s="1"/>
  <c r="Q995" i="20"/>
  <c r="S995" i="20" s="1"/>
  <c r="U995" i="20" s="1"/>
  <c r="Q1059" i="20"/>
  <c r="S1059" i="20" s="1"/>
  <c r="U1059" i="20" s="1"/>
  <c r="Q1120" i="20"/>
  <c r="S1120" i="20" s="1"/>
  <c r="U1120" i="20" s="1"/>
  <c r="Q30" i="15"/>
  <c r="S30" i="15" s="1"/>
  <c r="Q137" i="15"/>
  <c r="S137" i="15" s="1"/>
  <c r="Q220" i="15"/>
  <c r="S220" i="15" s="1"/>
  <c r="Q319" i="15"/>
  <c r="S319" i="15" s="1"/>
  <c r="Q442" i="15"/>
  <c r="S442" i="15" s="1"/>
  <c r="Q577" i="15"/>
  <c r="S577" i="15" s="1"/>
  <c r="Q659" i="15"/>
  <c r="S659" i="15" s="1"/>
  <c r="Q858" i="15"/>
  <c r="S858" i="15" s="1"/>
  <c r="Q1021" i="15"/>
  <c r="S1021" i="15" s="1"/>
  <c r="Q1133" i="15"/>
  <c r="S1133" i="15" s="1"/>
  <c r="L7" i="11"/>
  <c r="N7" i="11" s="1"/>
  <c r="L115" i="11"/>
  <c r="N115" i="11" s="1"/>
  <c r="L153" i="11"/>
  <c r="N153" i="11" s="1"/>
  <c r="L208" i="11"/>
  <c r="N208" i="11" s="1"/>
  <c r="L214" i="11"/>
  <c r="N214" i="11" s="1"/>
  <c r="L224" i="11"/>
  <c r="N224" i="11" s="1"/>
  <c r="L239" i="11"/>
  <c r="N239" i="11" s="1"/>
  <c r="L285" i="11"/>
  <c r="N285" i="11" s="1"/>
  <c r="L303" i="11"/>
  <c r="N303" i="11" s="1"/>
  <c r="L305" i="11"/>
  <c r="N305" i="11" s="1"/>
  <c r="L326" i="11"/>
  <c r="N326" i="11" s="1"/>
  <c r="N27" i="8"/>
  <c r="P27" i="8" s="1"/>
  <c r="N29" i="8"/>
  <c r="P29" i="8" s="1"/>
  <c r="N32" i="8"/>
  <c r="P32" i="8" s="1"/>
  <c r="N34" i="8"/>
  <c r="P34" i="8" s="1"/>
  <c r="N37" i="8"/>
  <c r="P37" i="8" s="1"/>
  <c r="N39" i="8"/>
  <c r="P39" i="8" s="1"/>
  <c r="N206" i="8"/>
  <c r="P206" i="8" s="1"/>
  <c r="N387" i="8"/>
  <c r="P387" i="8" s="1"/>
  <c r="N389" i="8"/>
  <c r="P389" i="8" s="1"/>
  <c r="N391" i="8"/>
  <c r="P391" i="8" s="1"/>
  <c r="N403" i="8"/>
  <c r="P403" i="8" s="1"/>
  <c r="S504" i="24"/>
  <c r="U504" i="24" s="1"/>
  <c r="S506" i="24"/>
  <c r="U506" i="24" s="1"/>
  <c r="S1249" i="24"/>
  <c r="U1249" i="24" s="1"/>
  <c r="S1251" i="24"/>
  <c r="U1251" i="24" s="1"/>
  <c r="S1259" i="24"/>
  <c r="U1259" i="24" s="1"/>
  <c r="S273" i="24"/>
  <c r="U273" i="24" s="1"/>
  <c r="S630" i="24"/>
  <c r="U630" i="24" s="1"/>
  <c r="C4" i="24"/>
  <c r="E239" i="24" s="1"/>
  <c r="S635" i="24"/>
  <c r="U635" i="24" s="1"/>
  <c r="S669" i="24"/>
  <c r="U669" i="24" s="1"/>
  <c r="S190" i="24"/>
  <c r="U190" i="24" s="1"/>
  <c r="O251" i="24"/>
  <c r="O253" i="24"/>
  <c r="S316" i="24"/>
  <c r="U316" i="24" s="1"/>
  <c r="S609" i="24"/>
  <c r="U609" i="24" s="1"/>
  <c r="O754" i="24"/>
  <c r="S754" i="24" s="1"/>
  <c r="U754" i="24" s="1"/>
  <c r="S1101" i="24"/>
  <c r="U1101" i="24" s="1"/>
  <c r="O52" i="24"/>
  <c r="S52" i="24" s="1"/>
  <c r="U52" i="24" s="1"/>
  <c r="H846" i="24"/>
  <c r="H847" i="24" s="1"/>
  <c r="H848" i="24" s="1"/>
  <c r="H849" i="24" s="1"/>
  <c r="S485" i="24"/>
  <c r="U485" i="24" s="1"/>
  <c r="S637" i="24"/>
  <c r="U637" i="24" s="1"/>
  <c r="Q291" i="24"/>
  <c r="S505" i="24"/>
  <c r="U505" i="24" s="1"/>
  <c r="S1109" i="24"/>
  <c r="U1109" i="24" s="1"/>
  <c r="S378" i="24"/>
  <c r="U378" i="24" s="1"/>
  <c r="S412" i="24"/>
  <c r="U412" i="24" s="1"/>
  <c r="S567" i="24"/>
  <c r="U567" i="24" s="1"/>
  <c r="S938" i="24"/>
  <c r="U938" i="24" s="1"/>
  <c r="S1097" i="24"/>
  <c r="U1097" i="24" s="1"/>
  <c r="S1222" i="24"/>
  <c r="U1222" i="24" s="1"/>
  <c r="S443" i="24"/>
  <c r="U443" i="24" s="1"/>
  <c r="S580" i="24"/>
  <c r="U580" i="24" s="1"/>
  <c r="S657" i="24"/>
  <c r="U657" i="24" s="1"/>
  <c r="S1121" i="24"/>
  <c r="U1121" i="24" s="1"/>
  <c r="S498" i="24"/>
  <c r="U498" i="24" s="1"/>
  <c r="S1131" i="24"/>
  <c r="U1131" i="24" s="1"/>
  <c r="S220" i="24"/>
  <c r="U220" i="24" s="1"/>
  <c r="O513" i="24"/>
  <c r="S623" i="24"/>
  <c r="U623" i="24" s="1"/>
  <c r="O648" i="24"/>
  <c r="S648" i="24" s="1"/>
  <c r="U648" i="24" s="1"/>
  <c r="S1120" i="24"/>
  <c r="U1120" i="24" s="1"/>
  <c r="S1238" i="24"/>
  <c r="U1238" i="24" s="1"/>
  <c r="S1257" i="24"/>
  <c r="U1257" i="24" s="1"/>
  <c r="O136" i="24"/>
  <c r="S136" i="24" s="1"/>
  <c r="U136" i="24" s="1"/>
  <c r="S218" i="24"/>
  <c r="U218" i="24" s="1"/>
  <c r="S622" i="24"/>
  <c r="U622" i="24" s="1"/>
  <c r="S624" i="24"/>
  <c r="U624" i="24" s="1"/>
  <c r="S632" i="24"/>
  <c r="U632" i="24" s="1"/>
  <c r="S888" i="24"/>
  <c r="U888" i="24" s="1"/>
  <c r="S1036" i="24"/>
  <c r="U1036" i="24" s="1"/>
  <c r="Q1038" i="24"/>
  <c r="S1132" i="24"/>
  <c r="U1132" i="24" s="1"/>
  <c r="O250" i="24"/>
  <c r="S699" i="24"/>
  <c r="U699" i="24" s="1"/>
  <c r="S825" i="24"/>
  <c r="U825" i="24" s="1"/>
  <c r="S835" i="24"/>
  <c r="U835" i="24" s="1"/>
  <c r="O1021" i="24"/>
  <c r="S1021" i="24" s="1"/>
  <c r="U1021" i="24" s="1"/>
  <c r="S1112" i="24"/>
  <c r="U1112" i="24" s="1"/>
  <c r="Q1188" i="24"/>
  <c r="S1188" i="24" s="1"/>
  <c r="U1188" i="24" s="1"/>
  <c r="S1194" i="24"/>
  <c r="U1194" i="24" s="1"/>
  <c r="S1264" i="24"/>
  <c r="U1264" i="24" s="1"/>
  <c r="S889" i="24"/>
  <c r="U889" i="24" s="1"/>
  <c r="S1108" i="24"/>
  <c r="U1108" i="24" s="1"/>
  <c r="S1242" i="24"/>
  <c r="U1242" i="24" s="1"/>
  <c r="S48" i="24"/>
  <c r="U48" i="24" s="1"/>
  <c r="S323" i="24"/>
  <c r="U323" i="24" s="1"/>
  <c r="S407" i="24"/>
  <c r="U407" i="24" s="1"/>
  <c r="S858" i="24"/>
  <c r="U858" i="24" s="1"/>
  <c r="S862" i="24"/>
  <c r="U862" i="24" s="1"/>
  <c r="S937" i="24"/>
  <c r="U937" i="24" s="1"/>
  <c r="S940" i="24"/>
  <c r="U940" i="24" s="1"/>
  <c r="S995" i="24"/>
  <c r="U995" i="24" s="1"/>
  <c r="S1111" i="24"/>
  <c r="U1111" i="24" s="1"/>
  <c r="O1195" i="24"/>
  <c r="S1195" i="24" s="1"/>
  <c r="U1195" i="24" s="1"/>
  <c r="S1207" i="24"/>
  <c r="U1207" i="24" s="1"/>
  <c r="S1248" i="24"/>
  <c r="U1248" i="24" s="1"/>
  <c r="Q516" i="24"/>
  <c r="H517" i="24"/>
  <c r="H519" i="24" s="1"/>
  <c r="O517" i="24"/>
  <c r="O516" i="24"/>
  <c r="S82" i="24"/>
  <c r="U82" i="24" s="1"/>
  <c r="S272" i="24"/>
  <c r="U272" i="24" s="1"/>
  <c r="H293" i="24"/>
  <c r="Q293" i="24" s="1"/>
  <c r="Q305" i="24"/>
  <c r="O659" i="24"/>
  <c r="S659" i="24" s="1"/>
  <c r="U659" i="24" s="1"/>
  <c r="O658" i="24"/>
  <c r="S658" i="24" s="1"/>
  <c r="U658" i="24" s="1"/>
  <c r="S40" i="24"/>
  <c r="U40" i="24" s="1"/>
  <c r="O137" i="24"/>
  <c r="S137" i="24" s="1"/>
  <c r="U137" i="24" s="1"/>
  <c r="H307" i="24"/>
  <c r="Q307" i="24" s="1"/>
  <c r="S321" i="24"/>
  <c r="U321" i="24" s="1"/>
  <c r="S379" i="24"/>
  <c r="U379" i="24" s="1"/>
  <c r="S404" i="24"/>
  <c r="U404" i="24" s="1"/>
  <c r="S442" i="24"/>
  <c r="U442" i="24" s="1"/>
  <c r="S481" i="24"/>
  <c r="U481" i="24" s="1"/>
  <c r="S494" i="24"/>
  <c r="U494" i="24" s="1"/>
  <c r="Q512" i="24"/>
  <c r="O568" i="24"/>
  <c r="S568" i="24" s="1"/>
  <c r="U568" i="24" s="1"/>
  <c r="O884" i="24"/>
  <c r="O869" i="24"/>
  <c r="S49" i="24"/>
  <c r="U49" i="24" s="1"/>
  <c r="S271" i="24"/>
  <c r="U271" i="24" s="1"/>
  <c r="S578" i="24"/>
  <c r="U578" i="24" s="1"/>
  <c r="Q513" i="24"/>
  <c r="S611" i="24"/>
  <c r="U611" i="24" s="1"/>
  <c r="S615" i="24"/>
  <c r="U615" i="24" s="1"/>
  <c r="S621" i="24"/>
  <c r="U621" i="24" s="1"/>
  <c r="S646" i="24"/>
  <c r="U646" i="24" s="1"/>
  <c r="M689" i="24"/>
  <c r="O689" i="24" s="1"/>
  <c r="S689" i="24" s="1"/>
  <c r="M721" i="24"/>
  <c r="O721" i="24" s="1"/>
  <c r="S721" i="24" s="1"/>
  <c r="O753" i="24"/>
  <c r="S753" i="24" s="1"/>
  <c r="U753" i="24" s="1"/>
  <c r="O755" i="24"/>
  <c r="S755" i="24" s="1"/>
  <c r="U755" i="24" s="1"/>
  <c r="S860" i="24"/>
  <c r="U860" i="24" s="1"/>
  <c r="Q929" i="24"/>
  <c r="S929" i="24" s="1"/>
  <c r="U929" i="24" s="1"/>
  <c r="O1140" i="24"/>
  <c r="S1140" i="24" s="1"/>
  <c r="U1140" i="24" s="1"/>
  <c r="Q1208" i="24"/>
  <c r="S1208" i="24" s="1"/>
  <c r="U1208" i="24" s="1"/>
  <c r="H1211" i="24"/>
  <c r="S1024" i="24"/>
  <c r="U1024" i="24" s="1"/>
  <c r="S1029" i="24"/>
  <c r="U1029" i="24" s="1"/>
  <c r="O666" i="24"/>
  <c r="S666" i="24" s="1"/>
  <c r="U666" i="24" s="1"/>
  <c r="M693" i="24"/>
  <c r="M725" i="24"/>
  <c r="S807" i="24"/>
  <c r="U807" i="24" s="1"/>
  <c r="H919" i="24"/>
  <c r="Q919" i="24" s="1"/>
  <c r="S996" i="24"/>
  <c r="U996" i="24" s="1"/>
  <c r="S1098" i="24"/>
  <c r="U1098" i="24" s="1"/>
  <c r="S1125" i="24"/>
  <c r="U1125" i="24" s="1"/>
  <c r="O421" i="24"/>
  <c r="O420" i="24"/>
  <c r="S419" i="24"/>
  <c r="U419" i="24" s="1"/>
  <c r="Q420" i="24"/>
  <c r="S320" i="24"/>
  <c r="U320" i="24" s="1"/>
  <c r="S245" i="24"/>
  <c r="U245" i="24" s="1"/>
  <c r="O252" i="24"/>
  <c r="S243" i="24"/>
  <c r="U243" i="24" s="1"/>
  <c r="S241" i="24"/>
  <c r="U241" i="24" s="1"/>
  <c r="S227" i="24"/>
  <c r="U227" i="24" s="1"/>
  <c r="S221" i="24"/>
  <c r="U221" i="24" s="1"/>
  <c r="O94" i="24"/>
  <c r="S94" i="24" s="1"/>
  <c r="U94" i="24" s="1"/>
  <c r="G32" i="18"/>
  <c r="G33" i="18" s="1"/>
  <c r="I32" i="18"/>
  <c r="I33" i="18" s="1"/>
  <c r="G46" i="18"/>
  <c r="G47" i="18" s="1"/>
  <c r="S31" i="24"/>
  <c r="U31" i="24" s="1"/>
  <c r="S29" i="24"/>
  <c r="U29" i="24" s="1"/>
  <c r="O41" i="24"/>
  <c r="S41" i="24" s="1"/>
  <c r="U41" i="24" s="1"/>
  <c r="O42" i="24"/>
  <c r="S42" i="24" s="1"/>
  <c r="U42" i="24" s="1"/>
  <c r="O62" i="24"/>
  <c r="S62" i="24" s="1"/>
  <c r="U62" i="24" s="1"/>
  <c r="O59" i="24"/>
  <c r="S59" i="24" s="1"/>
  <c r="U59" i="24" s="1"/>
  <c r="S58" i="24"/>
  <c r="U58" i="24" s="1"/>
  <c r="S114" i="24"/>
  <c r="U114" i="24" s="1"/>
  <c r="Q228" i="24"/>
  <c r="O72" i="24"/>
  <c r="S72" i="24" s="1"/>
  <c r="O104" i="24"/>
  <c r="S104" i="24" s="1"/>
  <c r="O103" i="24"/>
  <c r="S103" i="24" s="1"/>
  <c r="O138" i="24"/>
  <c r="S138" i="24" s="1"/>
  <c r="U138" i="24" s="1"/>
  <c r="S208" i="24"/>
  <c r="U208" i="24" s="1"/>
  <c r="O265" i="24"/>
  <c r="O95" i="24"/>
  <c r="S95" i="24" s="1"/>
  <c r="U95" i="24" s="1"/>
  <c r="M230" i="24"/>
  <c r="M231" i="24" s="1"/>
  <c r="M232" i="24" s="1"/>
  <c r="O229" i="24"/>
  <c r="S229" i="24" s="1"/>
  <c r="U229" i="24" s="1"/>
  <c r="S246" i="24"/>
  <c r="U246" i="24" s="1"/>
  <c r="O267" i="24"/>
  <c r="Q301" i="24"/>
  <c r="Q302" i="24"/>
  <c r="H422" i="24"/>
  <c r="Q421" i="24"/>
  <c r="O228" i="24"/>
  <c r="O236" i="24"/>
  <c r="S236" i="24" s="1"/>
  <c r="U236" i="24" s="1"/>
  <c r="S317" i="24"/>
  <c r="U317" i="24" s="1"/>
  <c r="S311" i="24"/>
  <c r="U311" i="24" s="1"/>
  <c r="Q312" i="24"/>
  <c r="S318" i="24"/>
  <c r="U318" i="24" s="1"/>
  <c r="H583" i="24"/>
  <c r="Q581" i="24"/>
  <c r="S581" i="24" s="1"/>
  <c r="U581" i="24" s="1"/>
  <c r="H584" i="24"/>
  <c r="S484" i="24"/>
  <c r="U484" i="24" s="1"/>
  <c r="S482" i="24"/>
  <c r="U482" i="24" s="1"/>
  <c r="S487" i="24"/>
  <c r="U487" i="24" s="1"/>
  <c r="S493" i="24"/>
  <c r="U493" i="24" s="1"/>
  <c r="S595" i="24"/>
  <c r="U595" i="24" s="1"/>
  <c r="O679" i="24"/>
  <c r="S679" i="24" s="1"/>
  <c r="U679" i="24" s="1"/>
  <c r="O676" i="24"/>
  <c r="S676" i="24" s="1"/>
  <c r="U676" i="24" s="1"/>
  <c r="O570" i="24"/>
  <c r="S570" i="24" s="1"/>
  <c r="U570" i="24" s="1"/>
  <c r="O571" i="24"/>
  <c r="S571" i="24" s="1"/>
  <c r="U571" i="24" s="1"/>
  <c r="O675" i="24"/>
  <c r="S675" i="24" s="1"/>
  <c r="U675" i="24" s="1"/>
  <c r="O688" i="24"/>
  <c r="S688" i="24" s="1"/>
  <c r="O712" i="24"/>
  <c r="S712" i="24" s="1"/>
  <c r="U712" i="24" s="1"/>
  <c r="O720" i="24"/>
  <c r="S720" i="24" s="1"/>
  <c r="M847" i="24"/>
  <c r="M848" i="24" s="1"/>
  <c r="M849" i="24" s="1"/>
  <c r="O846" i="24"/>
  <c r="S846" i="24" s="1"/>
  <c r="U846" i="24" s="1"/>
  <c r="H865" i="24"/>
  <c r="Q864" i="24"/>
  <c r="S864" i="24" s="1"/>
  <c r="U864" i="24" s="1"/>
  <c r="O882" i="24"/>
  <c r="O512" i="24"/>
  <c r="O711" i="24"/>
  <c r="S711" i="24" s="1"/>
  <c r="U711" i="24" s="1"/>
  <c r="O885" i="24"/>
  <c r="O883" i="24"/>
  <c r="O838" i="24"/>
  <c r="S838" i="24" s="1"/>
  <c r="U838" i="24" s="1"/>
  <c r="O845" i="24"/>
  <c r="S845" i="24" s="1"/>
  <c r="U845" i="24" s="1"/>
  <c r="O853" i="24"/>
  <c r="S853" i="24" s="1"/>
  <c r="U853" i="24" s="1"/>
  <c r="O868" i="24"/>
  <c r="Q863" i="24"/>
  <c r="S863" i="24" s="1"/>
  <c r="U863" i="24" s="1"/>
  <c r="O867" i="24"/>
  <c r="Q890" i="24"/>
  <c r="S890" i="24" s="1"/>
  <c r="U890" i="24" s="1"/>
  <c r="O1037" i="24"/>
  <c r="H909" i="24"/>
  <c r="H923" i="24"/>
  <c r="S934" i="24"/>
  <c r="U934" i="24" s="1"/>
  <c r="O1060" i="24"/>
  <c r="S1060" i="24" s="1"/>
  <c r="U1060" i="24" s="1"/>
  <c r="S933" i="24"/>
  <c r="U933" i="24" s="1"/>
  <c r="H1040" i="24"/>
  <c r="Q1039" i="24"/>
  <c r="Q1037" i="24"/>
  <c r="S1059" i="24"/>
  <c r="U1059" i="24" s="1"/>
  <c r="S1114" i="24"/>
  <c r="U1114" i="24" s="1"/>
  <c r="O1133" i="24"/>
  <c r="S1133" i="24" s="1"/>
  <c r="U1133" i="24" s="1"/>
  <c r="S1100" i="24"/>
  <c r="U1100" i="24" s="1"/>
  <c r="Q1139" i="24"/>
  <c r="S1139" i="24" s="1"/>
  <c r="U1139" i="24" s="1"/>
  <c r="H1141" i="24"/>
  <c r="H1143" i="24" s="1"/>
  <c r="O1197" i="24"/>
  <c r="S1197" i="24" s="1"/>
  <c r="U1197" i="24" s="1"/>
  <c r="O1198" i="24"/>
  <c r="S1198" i="24" s="1"/>
  <c r="U1198" i="24" s="1"/>
  <c r="S1205" i="24"/>
  <c r="U1205" i="24" s="1"/>
  <c r="S1236" i="24"/>
  <c r="U1236" i="24" s="1"/>
  <c r="S1250" i="24"/>
  <c r="U1250" i="24" s="1"/>
  <c r="C3" i="20"/>
  <c r="F238" i="20"/>
  <c r="D4" i="20"/>
  <c r="F64" i="20"/>
  <c r="J61" i="20"/>
  <c r="M61" i="20" s="1"/>
  <c r="Q61" i="20" s="1"/>
  <c r="S61" i="20" s="1"/>
  <c r="U61" i="20" s="1"/>
  <c r="M58" i="20"/>
  <c r="Q58" i="20" s="1"/>
  <c r="S58" i="20" s="1"/>
  <c r="U58" i="20" s="1"/>
  <c r="Q137" i="20"/>
  <c r="S137" i="20" s="1"/>
  <c r="U137" i="20" s="1"/>
  <c r="J44" i="20"/>
  <c r="J45" i="20" s="1"/>
  <c r="M41" i="20"/>
  <c r="Q41" i="20" s="1"/>
  <c r="S41" i="20" s="1"/>
  <c r="U41" i="20" s="1"/>
  <c r="M138" i="20"/>
  <c r="Q138" i="20" s="1"/>
  <c r="S138" i="20" s="1"/>
  <c r="U138" i="20" s="1"/>
  <c r="Q135" i="20"/>
  <c r="S135" i="20" s="1"/>
  <c r="U135" i="20" s="1"/>
  <c r="O246" i="20"/>
  <c r="Q246" i="20" s="1"/>
  <c r="S246" i="20" s="1"/>
  <c r="U246" i="20" s="1"/>
  <c r="I247" i="20"/>
  <c r="K229" i="20"/>
  <c r="K230" i="20" s="1"/>
  <c r="K231" i="20" s="1"/>
  <c r="M228" i="20"/>
  <c r="Q228" i="20" s="1"/>
  <c r="S228" i="20" s="1"/>
  <c r="U228" i="20" s="1"/>
  <c r="J269" i="20"/>
  <c r="J274" i="20" s="1"/>
  <c r="M264" i="20"/>
  <c r="J271" i="20"/>
  <c r="J276" i="20" s="1"/>
  <c r="M266" i="20"/>
  <c r="C2" i="20"/>
  <c r="M40" i="20"/>
  <c r="Q40" i="20" s="1"/>
  <c r="S40" i="20" s="1"/>
  <c r="U40" i="20" s="1"/>
  <c r="M48" i="20"/>
  <c r="Q48" i="20" s="1"/>
  <c r="S48" i="20" s="1"/>
  <c r="U48" i="20" s="1"/>
  <c r="M93" i="20"/>
  <c r="Q93" i="20" s="1"/>
  <c r="S93" i="20" s="1"/>
  <c r="U93" i="20" s="1"/>
  <c r="M249" i="20"/>
  <c r="M251" i="20"/>
  <c r="M446" i="20"/>
  <c r="Q446" i="20" s="1"/>
  <c r="S446" i="20" s="1"/>
  <c r="U446" i="20" s="1"/>
  <c r="J447" i="20"/>
  <c r="J661" i="20"/>
  <c r="J662" i="20" s="1"/>
  <c r="M658" i="20"/>
  <c r="Q658" i="20" s="1"/>
  <c r="S658" i="20" s="1"/>
  <c r="U658" i="20" s="1"/>
  <c r="J255" i="20"/>
  <c r="J260" i="20" s="1"/>
  <c r="J265" i="20" s="1"/>
  <c r="J257" i="20"/>
  <c r="J262" i="20" s="1"/>
  <c r="J267" i="20" s="1"/>
  <c r="M381" i="20"/>
  <c r="Q381" i="20" s="1"/>
  <c r="S381" i="20" s="1"/>
  <c r="U381" i="20" s="1"/>
  <c r="J382" i="20"/>
  <c r="Q419" i="20"/>
  <c r="S419" i="20" s="1"/>
  <c r="U419" i="20" s="1"/>
  <c r="I512" i="20"/>
  <c r="O511" i="20"/>
  <c r="Q511" i="20" s="1"/>
  <c r="S511" i="20" s="1"/>
  <c r="U511" i="20" s="1"/>
  <c r="M569" i="20"/>
  <c r="Q569" i="20" s="1"/>
  <c r="S569" i="20" s="1"/>
  <c r="U569" i="20" s="1"/>
  <c r="J570" i="20"/>
  <c r="M570" i="20" s="1"/>
  <c r="Q570" i="20" s="1"/>
  <c r="S570" i="20" s="1"/>
  <c r="U570" i="20" s="1"/>
  <c r="I585" i="20"/>
  <c r="I586" i="20"/>
  <c r="O586" i="20" s="1"/>
  <c r="M755" i="20"/>
  <c r="Q755" i="20" s="1"/>
  <c r="S755" i="20" s="1"/>
  <c r="U755" i="20" s="1"/>
  <c r="Q752" i="20"/>
  <c r="S752" i="20" s="1"/>
  <c r="U752" i="20" s="1"/>
  <c r="M57" i="20"/>
  <c r="Q57" i="20" s="1"/>
  <c r="S57" i="20" s="1"/>
  <c r="U57" i="20" s="1"/>
  <c r="J221" i="20"/>
  <c r="J222" i="20" s="1"/>
  <c r="J223" i="20" s="1"/>
  <c r="J224" i="20" s="1"/>
  <c r="O317" i="20"/>
  <c r="Q317" i="20" s="1"/>
  <c r="S317" i="20" s="1"/>
  <c r="U317" i="20" s="1"/>
  <c r="Q316" i="20"/>
  <c r="S316" i="20" s="1"/>
  <c r="U316" i="20" s="1"/>
  <c r="J422" i="20"/>
  <c r="M421" i="20"/>
  <c r="J516" i="20"/>
  <c r="J515" i="20"/>
  <c r="M515" i="20" s="1"/>
  <c r="M94" i="20"/>
  <c r="Q94" i="20" s="1"/>
  <c r="S94" i="20" s="1"/>
  <c r="U94" i="20" s="1"/>
  <c r="M102" i="20"/>
  <c r="Q102" i="20" s="1"/>
  <c r="M227" i="20"/>
  <c r="Q227" i="20" s="1"/>
  <c r="S227" i="20" s="1"/>
  <c r="U227" i="20" s="1"/>
  <c r="M235" i="20"/>
  <c r="Q235" i="20" s="1"/>
  <c r="S235" i="20" s="1"/>
  <c r="U235" i="20" s="1"/>
  <c r="J324" i="20"/>
  <c r="M321" i="20"/>
  <c r="Q321" i="20" s="1"/>
  <c r="S321" i="20" s="1"/>
  <c r="U321" i="20" s="1"/>
  <c r="J588" i="20"/>
  <c r="M586" i="20"/>
  <c r="J678" i="20"/>
  <c r="M678" i="20" s="1"/>
  <c r="Q678" i="20" s="1"/>
  <c r="S678" i="20" s="1"/>
  <c r="U678" i="20" s="1"/>
  <c r="M675" i="20"/>
  <c r="Q675" i="20" s="1"/>
  <c r="S675" i="20" s="1"/>
  <c r="U675" i="20" s="1"/>
  <c r="Q754" i="20"/>
  <c r="S754" i="20" s="1"/>
  <c r="U754" i="20" s="1"/>
  <c r="I291" i="20"/>
  <c r="I302" i="20"/>
  <c r="O302" i="20" s="1"/>
  <c r="I305" i="20"/>
  <c r="O312" i="20"/>
  <c r="Q312" i="20" s="1"/>
  <c r="S312" i="20" s="1"/>
  <c r="U312" i="20" s="1"/>
  <c r="I420" i="20"/>
  <c r="M442" i="20"/>
  <c r="Q442" i="20" s="1"/>
  <c r="S442" i="20" s="1"/>
  <c r="U442" i="20" s="1"/>
  <c r="M512" i="20"/>
  <c r="J572" i="20"/>
  <c r="J585" i="20"/>
  <c r="M657" i="20"/>
  <c r="Q657" i="20" s="1"/>
  <c r="S657" i="20" s="1"/>
  <c r="U657" i="20" s="1"/>
  <c r="M665" i="20"/>
  <c r="Q665" i="20" s="1"/>
  <c r="S665" i="20" s="1"/>
  <c r="U665" i="20" s="1"/>
  <c r="O844" i="20"/>
  <c r="Q844" i="20" s="1"/>
  <c r="S844" i="20" s="1"/>
  <c r="U844" i="20" s="1"/>
  <c r="J886" i="20"/>
  <c r="J891" i="20" s="1"/>
  <c r="M881" i="20"/>
  <c r="J888" i="20"/>
  <c r="J893" i="20" s="1"/>
  <c r="M883" i="20"/>
  <c r="O889" i="20"/>
  <c r="Q889" i="20" s="1"/>
  <c r="S889" i="20" s="1"/>
  <c r="U889" i="20" s="1"/>
  <c r="Q888" i="20"/>
  <c r="S888" i="20" s="1"/>
  <c r="U888" i="20" s="1"/>
  <c r="J404" i="20"/>
  <c r="J405" i="20" s="1"/>
  <c r="J506" i="20"/>
  <c r="J1038" i="20"/>
  <c r="M1037" i="20"/>
  <c r="M420" i="20"/>
  <c r="M674" i="20"/>
  <c r="Q674" i="20" s="1"/>
  <c r="S674" i="20" s="1"/>
  <c r="U674" i="20" s="1"/>
  <c r="M687" i="20"/>
  <c r="Q687" i="20" s="1"/>
  <c r="M711" i="20"/>
  <c r="Q711" i="20" s="1"/>
  <c r="S711" i="20" s="1"/>
  <c r="U711" i="20" s="1"/>
  <c r="M719" i="20"/>
  <c r="Q719" i="20" s="1"/>
  <c r="J889" i="20"/>
  <c r="J894" i="20" s="1"/>
  <c r="M884" i="20"/>
  <c r="O908" i="20"/>
  <c r="I909" i="20"/>
  <c r="O909" i="20" s="1"/>
  <c r="O922" i="20"/>
  <c r="I923" i="20"/>
  <c r="O934" i="20"/>
  <c r="Q934" i="20" s="1"/>
  <c r="S934" i="20" s="1"/>
  <c r="U934" i="20" s="1"/>
  <c r="Q933" i="20"/>
  <c r="S933" i="20" s="1"/>
  <c r="U933" i="20" s="1"/>
  <c r="I1039" i="20"/>
  <c r="O1038" i="20"/>
  <c r="Q1058" i="20"/>
  <c r="S1058" i="20" s="1"/>
  <c r="U1058" i="20" s="1"/>
  <c r="J565" i="20"/>
  <c r="K846" i="20"/>
  <c r="K847" i="20" s="1"/>
  <c r="K848" i="20" s="1"/>
  <c r="M845" i="20"/>
  <c r="Q845" i="20" s="1"/>
  <c r="S845" i="20" s="1"/>
  <c r="U845" i="20" s="1"/>
  <c r="O863" i="20"/>
  <c r="Q863" i="20" s="1"/>
  <c r="S863" i="20" s="1"/>
  <c r="U863" i="20" s="1"/>
  <c r="I864" i="20"/>
  <c r="J941" i="20"/>
  <c r="M938" i="20"/>
  <c r="Q938" i="20" s="1"/>
  <c r="S938" i="20" s="1"/>
  <c r="U938" i="20" s="1"/>
  <c r="M1063" i="20"/>
  <c r="Q1063" i="20" s="1"/>
  <c r="S1063" i="20" s="1"/>
  <c r="U1063" i="20" s="1"/>
  <c r="J1064" i="20"/>
  <c r="M866" i="20"/>
  <c r="M868" i="20"/>
  <c r="J872" i="20"/>
  <c r="J877" i="20" s="1"/>
  <c r="J882" i="20" s="1"/>
  <c r="Q928" i="20"/>
  <c r="S928" i="20" s="1"/>
  <c r="U928" i="20" s="1"/>
  <c r="O1037" i="20"/>
  <c r="Q1100" i="20"/>
  <c r="S1100" i="20" s="1"/>
  <c r="U1100" i="20" s="1"/>
  <c r="J1140" i="20"/>
  <c r="M1139" i="20"/>
  <c r="Q1139" i="20" s="1"/>
  <c r="S1139" i="20" s="1"/>
  <c r="U1139" i="20" s="1"/>
  <c r="J1199" i="20"/>
  <c r="J1200" i="20"/>
  <c r="J1192" i="20"/>
  <c r="J1215" i="20"/>
  <c r="M1213" i="20"/>
  <c r="O907" i="20"/>
  <c r="O918" i="20"/>
  <c r="O921" i="20"/>
  <c r="J998" i="20"/>
  <c r="J1134" i="20"/>
  <c r="M1133" i="20"/>
  <c r="Q1133" i="20" s="1"/>
  <c r="S1133" i="20" s="1"/>
  <c r="U1133" i="20" s="1"/>
  <c r="M869" i="20"/>
  <c r="M1036" i="20"/>
  <c r="Q1036" i="20" s="1"/>
  <c r="S1036" i="20" s="1"/>
  <c r="U1036" i="20" s="1"/>
  <c r="I1212" i="20"/>
  <c r="I1213" i="20"/>
  <c r="O1213" i="20" s="1"/>
  <c r="J270" i="15"/>
  <c r="J275" i="15" s="1"/>
  <c r="M265" i="15"/>
  <c r="J272" i="15"/>
  <c r="J277" i="15" s="1"/>
  <c r="M267" i="15"/>
  <c r="Q272" i="15"/>
  <c r="S272" i="15" s="1"/>
  <c r="I302" i="15"/>
  <c r="O302" i="15" s="1"/>
  <c r="O301" i="15"/>
  <c r="O312" i="15"/>
  <c r="Q312" i="15" s="1"/>
  <c r="S312" i="15" s="1"/>
  <c r="Q311" i="15"/>
  <c r="S311" i="15" s="1"/>
  <c r="M381" i="15"/>
  <c r="Q381" i="15" s="1"/>
  <c r="S381" i="15" s="1"/>
  <c r="J382" i="15"/>
  <c r="M1138" i="20"/>
  <c r="Q1138" i="20" s="1"/>
  <c r="S1138" i="20" s="1"/>
  <c r="U1138" i="20" s="1"/>
  <c r="I1140" i="20"/>
  <c r="I1142" i="20" s="1"/>
  <c r="O1207" i="20"/>
  <c r="Q1207" i="20" s="1"/>
  <c r="S1207" i="20" s="1"/>
  <c r="U1207" i="20" s="1"/>
  <c r="M70" i="15"/>
  <c r="Q70" i="15" s="1"/>
  <c r="S70" i="15" s="1"/>
  <c r="M102" i="15"/>
  <c r="Q102" i="15" s="1"/>
  <c r="S102" i="15" s="1"/>
  <c r="J269" i="15"/>
  <c r="J274" i="15" s="1"/>
  <c r="M264" i="15"/>
  <c r="O291" i="15"/>
  <c r="I292" i="15"/>
  <c r="O292" i="15" s="1"/>
  <c r="O305" i="15"/>
  <c r="I306" i="15"/>
  <c r="O317" i="15"/>
  <c r="Q317" i="15" s="1"/>
  <c r="S317" i="15" s="1"/>
  <c r="Q316" i="15"/>
  <c r="S316" i="15" s="1"/>
  <c r="J1195" i="20"/>
  <c r="J1196" i="20" s="1"/>
  <c r="D4" i="15"/>
  <c r="F64" i="15"/>
  <c r="I252" i="15"/>
  <c r="I251" i="15"/>
  <c r="O251" i="15" s="1"/>
  <c r="I250" i="15"/>
  <c r="O250" i="15" s="1"/>
  <c r="I249" i="15"/>
  <c r="O249" i="15" s="1"/>
  <c r="Q249" i="15" s="1"/>
  <c r="S249" i="15" s="1"/>
  <c r="O247" i="15"/>
  <c r="Q247" i="15" s="1"/>
  <c r="S247" i="15" s="1"/>
  <c r="J271" i="15"/>
  <c r="J276" i="15" s="1"/>
  <c r="M266" i="15"/>
  <c r="C3" i="15"/>
  <c r="M228" i="15"/>
  <c r="Q228" i="15" s="1"/>
  <c r="S228" i="15" s="1"/>
  <c r="K229" i="15"/>
  <c r="K230" i="15" s="1"/>
  <c r="K231" i="15" s="1"/>
  <c r="Q271" i="15"/>
  <c r="S271" i="15" s="1"/>
  <c r="Q135" i="15"/>
  <c r="S135" i="15" s="1"/>
  <c r="I228" i="15"/>
  <c r="I229" i="15" s="1"/>
  <c r="I230" i="15" s="1"/>
  <c r="I231" i="15" s="1"/>
  <c r="M235" i="15"/>
  <c r="Q235" i="15" s="1"/>
  <c r="S235" i="15" s="1"/>
  <c r="M250" i="15"/>
  <c r="O300" i="15"/>
  <c r="J321" i="15"/>
  <c r="Q511" i="15"/>
  <c r="S511" i="15" s="1"/>
  <c r="J228" i="15"/>
  <c r="J229" i="15" s="1"/>
  <c r="J230" i="15" s="1"/>
  <c r="J231" i="15" s="1"/>
  <c r="O246" i="15"/>
  <c r="Q246" i="15" s="1"/>
  <c r="S246" i="15" s="1"/>
  <c r="M251" i="15"/>
  <c r="Q310" i="15"/>
  <c r="S310" i="15" s="1"/>
  <c r="I421" i="15"/>
  <c r="O420" i="15"/>
  <c r="M420" i="15"/>
  <c r="M422" i="15"/>
  <c r="M252" i="15"/>
  <c r="M425" i="15"/>
  <c r="J426" i="15"/>
  <c r="J572" i="15"/>
  <c r="J565" i="15"/>
  <c r="J573" i="15"/>
  <c r="I585" i="15"/>
  <c r="I586" i="15"/>
  <c r="O586" i="15" s="1"/>
  <c r="J507" i="15"/>
  <c r="M506" i="15"/>
  <c r="Q506" i="15" s="1"/>
  <c r="S506" i="15" s="1"/>
  <c r="M512" i="15"/>
  <c r="J513" i="15"/>
  <c r="I512" i="15"/>
  <c r="J585" i="15"/>
  <c r="J586" i="15"/>
  <c r="M882" i="15"/>
  <c r="J887" i="15"/>
  <c r="J892" i="15" s="1"/>
  <c r="O419" i="15"/>
  <c r="Q419" i="15" s="1"/>
  <c r="S419" i="15" s="1"/>
  <c r="J443" i="15"/>
  <c r="J445" i="15" s="1"/>
  <c r="J446" i="15" s="1"/>
  <c r="M505" i="15"/>
  <c r="Q505" i="15" s="1"/>
  <c r="S505" i="15" s="1"/>
  <c r="J568" i="15"/>
  <c r="J569" i="15" s="1"/>
  <c r="O580" i="15"/>
  <c r="Q580" i="15" s="1"/>
  <c r="S580" i="15" s="1"/>
  <c r="I582" i="15"/>
  <c r="Q620" i="15"/>
  <c r="S620" i="15" s="1"/>
  <c r="K689" i="15"/>
  <c r="M689" i="15" s="1"/>
  <c r="Q689" i="15" s="1"/>
  <c r="S689" i="15" s="1"/>
  <c r="M756" i="15"/>
  <c r="Q756" i="15" s="1"/>
  <c r="S756" i="15" s="1"/>
  <c r="Q753" i="15"/>
  <c r="S753" i="15" s="1"/>
  <c r="Q657" i="15"/>
  <c r="S657" i="15" s="1"/>
  <c r="Q755" i="15"/>
  <c r="S755" i="15" s="1"/>
  <c r="O864" i="15"/>
  <c r="Q864" i="15" s="1"/>
  <c r="S864" i="15" s="1"/>
  <c r="I865" i="15"/>
  <c r="M883" i="15"/>
  <c r="J888" i="15"/>
  <c r="J893" i="15" s="1"/>
  <c r="K847" i="15"/>
  <c r="K848" i="15" s="1"/>
  <c r="K849" i="15" s="1"/>
  <c r="J875" i="15"/>
  <c r="J880" i="15" s="1"/>
  <c r="J885" i="15" s="1"/>
  <c r="M999" i="15"/>
  <c r="Q999" i="15" s="1"/>
  <c r="S999" i="15" s="1"/>
  <c r="J1000" i="15"/>
  <c r="M838" i="15"/>
  <c r="Q838" i="15" s="1"/>
  <c r="S838" i="15" s="1"/>
  <c r="O845" i="15"/>
  <c r="Q845" i="15" s="1"/>
  <c r="S845" i="15" s="1"/>
  <c r="O863" i="15"/>
  <c r="Q863" i="15" s="1"/>
  <c r="S863" i="15" s="1"/>
  <c r="M867" i="15"/>
  <c r="Q890" i="15"/>
  <c r="S890" i="15" s="1"/>
  <c r="I923" i="15"/>
  <c r="Q934" i="15"/>
  <c r="S934" i="15" s="1"/>
  <c r="J874" i="15"/>
  <c r="J879" i="15" s="1"/>
  <c r="J884" i="15" s="1"/>
  <c r="I909" i="15"/>
  <c r="Q937" i="15"/>
  <c r="S937" i="15" s="1"/>
  <c r="Q889" i="15"/>
  <c r="S889" i="15" s="1"/>
  <c r="O919" i="15"/>
  <c r="M942" i="15"/>
  <c r="Q942" i="15" s="1"/>
  <c r="S942" i="15" s="1"/>
  <c r="J943" i="15"/>
  <c r="O929" i="15"/>
  <c r="M996" i="15"/>
  <c r="Q996" i="15" s="1"/>
  <c r="S996" i="15" s="1"/>
  <c r="J1061" i="15"/>
  <c r="J1063" i="15" s="1"/>
  <c r="J1064" i="15" s="1"/>
  <c r="M1060" i="15"/>
  <c r="Q1060" i="15" s="1"/>
  <c r="S1060" i="15" s="1"/>
  <c r="I1140" i="15"/>
  <c r="O1139" i="15"/>
  <c r="Q1139" i="15" s="1"/>
  <c r="S1139" i="15" s="1"/>
  <c r="I1039" i="15"/>
  <c r="J1134" i="15"/>
  <c r="J1198" i="15"/>
  <c r="M1198" i="15" s="1"/>
  <c r="Q1198" i="15" s="1"/>
  <c r="S1198" i="15" s="1"/>
  <c r="M1197" i="15"/>
  <c r="Q1197" i="15" s="1"/>
  <c r="S1197" i="15" s="1"/>
  <c r="M1216" i="15"/>
  <c r="Q1216" i="15" s="1"/>
  <c r="S1216" i="15" s="1"/>
  <c r="J1218" i="15"/>
  <c r="J1038" i="15"/>
  <c r="Q1113" i="15"/>
  <c r="S1113" i="15" s="1"/>
  <c r="J1140" i="15"/>
  <c r="L114" i="11"/>
  <c r="N114" i="11" s="1"/>
  <c r="J1193" i="15"/>
  <c r="J1200" i="15"/>
  <c r="I1211" i="15"/>
  <c r="L199" i="8"/>
  <c r="N199" i="8" s="1"/>
  <c r="P199" i="8" s="1"/>
  <c r="L198" i="8"/>
  <c r="N198" i="8" s="1"/>
  <c r="P198" i="8" s="1"/>
  <c r="J198" i="11"/>
  <c r="L198" i="11" s="1"/>
  <c r="N198" i="11" s="1"/>
  <c r="J199" i="11"/>
  <c r="L238" i="8"/>
  <c r="N238" i="8" s="1"/>
  <c r="P238" i="8" s="1"/>
  <c r="J238" i="11"/>
  <c r="L226" i="8"/>
  <c r="N226" i="8" s="1"/>
  <c r="P226" i="8" s="1"/>
  <c r="J226" i="11"/>
  <c r="L343" i="8"/>
  <c r="N343" i="8" s="1"/>
  <c r="P343" i="8" s="1"/>
  <c r="L342" i="8"/>
  <c r="N342" i="8" s="1"/>
  <c r="P342" i="8" s="1"/>
  <c r="L125" i="8"/>
  <c r="J125" i="11"/>
  <c r="J343" i="11"/>
  <c r="L343" i="11" s="1"/>
  <c r="N343" i="11" s="1"/>
  <c r="J342" i="11"/>
  <c r="L342" i="11" s="1"/>
  <c r="N342" i="11" s="1"/>
  <c r="L202" i="8"/>
  <c r="N202" i="8" s="1"/>
  <c r="P202" i="8" s="1"/>
  <c r="L4" i="8"/>
  <c r="L3" i="8"/>
  <c r="N3" i="8" s="1"/>
  <c r="P3" i="8" s="1"/>
  <c r="L2" i="8"/>
  <c r="J202" i="11"/>
  <c r="L202" i="11" s="1"/>
  <c r="N202" i="11" s="1"/>
  <c r="J424" i="8"/>
  <c r="J423" i="8"/>
  <c r="K423" i="8" s="1"/>
  <c r="J425" i="8"/>
  <c r="J410" i="8"/>
  <c r="K410" i="8" s="1"/>
  <c r="L270" i="8"/>
  <c r="N270" i="8" s="1"/>
  <c r="P270" i="8" s="1"/>
  <c r="J421" i="8"/>
  <c r="K421" i="8" s="1"/>
  <c r="J411" i="8"/>
  <c r="K411" i="8" s="1"/>
  <c r="J422" i="8"/>
  <c r="K422" i="8" s="1"/>
  <c r="J412" i="8"/>
  <c r="K412" i="8" s="1"/>
  <c r="H424" i="11"/>
  <c r="H423" i="11"/>
  <c r="H425" i="11"/>
  <c r="H410" i="11"/>
  <c r="I410" i="11" s="1"/>
  <c r="H421" i="11"/>
  <c r="I421" i="11" s="1"/>
  <c r="H411" i="11"/>
  <c r="I411" i="11" s="1"/>
  <c r="H422" i="11"/>
  <c r="H412" i="11"/>
  <c r="J270" i="11"/>
  <c r="L382" i="8"/>
  <c r="N382" i="8" s="1"/>
  <c r="P382" i="8" s="1"/>
  <c r="L379" i="8"/>
  <c r="L378" i="8"/>
  <c r="L245" i="8"/>
  <c r="N245" i="8" s="1"/>
  <c r="P245" i="8" s="1"/>
  <c r="L243" i="8"/>
  <c r="N243" i="8" s="1"/>
  <c r="P243" i="8" s="1"/>
  <c r="L266" i="8"/>
  <c r="N266" i="8" s="1"/>
  <c r="P266" i="8" s="1"/>
  <c r="L246" i="8"/>
  <c r="N246" i="8" s="1"/>
  <c r="P246" i="8" s="1"/>
  <c r="L244" i="8"/>
  <c r="N244" i="8" s="1"/>
  <c r="P244" i="8" s="1"/>
  <c r="J382" i="11"/>
  <c r="L382" i="11" s="1"/>
  <c r="N382" i="11" s="1"/>
  <c r="J379" i="11"/>
  <c r="L379" i="11" s="1"/>
  <c r="N379" i="11" s="1"/>
  <c r="J378" i="11"/>
  <c r="L378" i="11" s="1"/>
  <c r="N378" i="11" s="1"/>
  <c r="J266" i="11"/>
  <c r="L266" i="11" s="1"/>
  <c r="N266" i="11" s="1"/>
  <c r="J246" i="11"/>
  <c r="L246" i="11" s="1"/>
  <c r="N246" i="11" s="1"/>
  <c r="J245" i="11"/>
  <c r="L245" i="11" s="1"/>
  <c r="N245" i="11" s="1"/>
  <c r="J244" i="11"/>
  <c r="J243" i="11"/>
  <c r="L243" i="11" s="1"/>
  <c r="N243" i="11" s="1"/>
  <c r="L383" i="8"/>
  <c r="N383" i="8" s="1"/>
  <c r="P383" i="8" s="1"/>
  <c r="L381" i="8"/>
  <c r="L380" i="8"/>
  <c r="L260" i="8"/>
  <c r="N260" i="8" s="1"/>
  <c r="P260" i="8" s="1"/>
  <c r="J383" i="11"/>
  <c r="L383" i="11" s="1"/>
  <c r="N383" i="11" s="1"/>
  <c r="J381" i="11"/>
  <c r="L381" i="11" s="1"/>
  <c r="N381" i="11" s="1"/>
  <c r="J380" i="11"/>
  <c r="L380" i="11" s="1"/>
  <c r="N380" i="11" s="1"/>
  <c r="J260" i="11"/>
  <c r="L260" i="11" s="1"/>
  <c r="N260" i="11" s="1"/>
  <c r="J2" i="11"/>
  <c r="L2" i="11" s="1"/>
  <c r="N2" i="11" s="1"/>
  <c r="J3" i="11"/>
  <c r="L3" i="11" s="1"/>
  <c r="N3" i="11" s="1"/>
  <c r="J4" i="11"/>
  <c r="L4" i="11" s="1"/>
  <c r="N4" i="11" s="1"/>
  <c r="J62" i="11"/>
  <c r="L62" i="11" s="1"/>
  <c r="N62" i="11" s="1"/>
  <c r="J63" i="11"/>
  <c r="L63" i="11" s="1"/>
  <c r="N63" i="11" s="1"/>
  <c r="J64" i="11"/>
  <c r="L64" i="11" s="1"/>
  <c r="N64" i="11" s="1"/>
  <c r="J65" i="11"/>
  <c r="L65" i="11" s="1"/>
  <c r="N65" i="11" s="1"/>
  <c r="J72" i="11"/>
  <c r="L72" i="11" s="1"/>
  <c r="N72" i="11" s="1"/>
  <c r="J73" i="11"/>
  <c r="L73" i="11" s="1"/>
  <c r="N73" i="11" s="1"/>
  <c r="J74" i="11"/>
  <c r="L74" i="11" s="1"/>
  <c r="N74" i="11" s="1"/>
  <c r="J75" i="11"/>
  <c r="L75" i="11" s="1"/>
  <c r="N75" i="11" s="1"/>
  <c r="J101" i="11"/>
  <c r="L101" i="11" s="1"/>
  <c r="N101" i="11" s="1"/>
  <c r="L226" i="11"/>
  <c r="N226" i="11" s="1"/>
  <c r="M1214" i="15"/>
  <c r="L116" i="8"/>
  <c r="N116" i="8" s="1"/>
  <c r="P116" i="8" s="1"/>
  <c r="L110" i="8"/>
  <c r="L197" i="8"/>
  <c r="N197" i="8" s="1"/>
  <c r="P197" i="8" s="1"/>
  <c r="L196" i="8"/>
  <c r="N196" i="8" s="1"/>
  <c r="P196" i="8" s="1"/>
  <c r="J197" i="11"/>
  <c r="L197" i="11" s="1"/>
  <c r="N197" i="11" s="1"/>
  <c r="J196" i="11"/>
  <c r="L218" i="8"/>
  <c r="N218" i="8" s="1"/>
  <c r="P218" i="8" s="1"/>
  <c r="L216" i="8"/>
  <c r="N216" i="8" s="1"/>
  <c r="P216" i="8" s="1"/>
  <c r="L102" i="8"/>
  <c r="L101" i="8"/>
  <c r="N101" i="8" s="1"/>
  <c r="P101" i="8" s="1"/>
  <c r="J218" i="11"/>
  <c r="L218" i="11" s="1"/>
  <c r="N218" i="11" s="1"/>
  <c r="J216" i="11"/>
  <c r="L216" i="11" s="1"/>
  <c r="N216" i="11" s="1"/>
  <c r="L236" i="8"/>
  <c r="J236" i="11"/>
  <c r="L236" i="11" s="1"/>
  <c r="N236" i="11" s="1"/>
  <c r="L320" i="8"/>
  <c r="N320" i="8" s="1"/>
  <c r="P320" i="8" s="1"/>
  <c r="L319" i="8"/>
  <c r="N319" i="8" s="1"/>
  <c r="P319" i="8" s="1"/>
  <c r="L318" i="8"/>
  <c r="N318" i="8" s="1"/>
  <c r="P318" i="8" s="1"/>
  <c r="L317" i="8"/>
  <c r="N317" i="8" s="1"/>
  <c r="P317" i="8" s="1"/>
  <c r="J320" i="11"/>
  <c r="L320" i="11" s="1"/>
  <c r="N320" i="11" s="1"/>
  <c r="J319" i="11"/>
  <c r="L319" i="11" s="1"/>
  <c r="N319" i="11" s="1"/>
  <c r="J318" i="11"/>
  <c r="L318" i="11" s="1"/>
  <c r="N318" i="11" s="1"/>
  <c r="J317" i="11"/>
  <c r="L317" i="11" s="1"/>
  <c r="N317" i="11" s="1"/>
  <c r="J109" i="11"/>
  <c r="L109" i="11" s="1"/>
  <c r="N109" i="11" s="1"/>
  <c r="J110" i="11"/>
  <c r="L110" i="11" s="1"/>
  <c r="N110" i="11" s="1"/>
  <c r="J116" i="11"/>
  <c r="L116" i="11" s="1"/>
  <c r="N116" i="11" s="1"/>
  <c r="L196" i="11"/>
  <c r="N196" i="11" s="1"/>
  <c r="L199" i="11"/>
  <c r="N199" i="11" s="1"/>
  <c r="O1208" i="15"/>
  <c r="Q1208" i="15" s="1"/>
  <c r="S1208" i="15" s="1"/>
  <c r="L187" i="8"/>
  <c r="L183" i="8"/>
  <c r="J187" i="11"/>
  <c r="J183" i="11"/>
  <c r="L127" i="8"/>
  <c r="J127" i="11"/>
  <c r="L148" i="8"/>
  <c r="N148" i="8" s="1"/>
  <c r="P148" i="8" s="1"/>
  <c r="J148" i="11"/>
  <c r="L148" i="11" s="1"/>
  <c r="N148" i="11" s="1"/>
  <c r="L185" i="8"/>
  <c r="L181" i="8"/>
  <c r="J185" i="11"/>
  <c r="J181" i="11"/>
  <c r="L275" i="8"/>
  <c r="N275" i="8" s="1"/>
  <c r="P275" i="8" s="1"/>
  <c r="L155" i="8"/>
  <c r="N155" i="8" s="1"/>
  <c r="P155" i="8" s="1"/>
  <c r="J275" i="11"/>
  <c r="L275" i="11" s="1"/>
  <c r="N275" i="11" s="1"/>
  <c r="J155" i="11"/>
  <c r="L155" i="11" s="1"/>
  <c r="N155" i="11" s="1"/>
  <c r="L145" i="8"/>
  <c r="N145" i="8" s="1"/>
  <c r="P145" i="8" s="1"/>
  <c r="L143" i="8"/>
  <c r="N143" i="8" s="1"/>
  <c r="P143" i="8" s="1"/>
  <c r="J145" i="11"/>
  <c r="L145" i="11" s="1"/>
  <c r="N145" i="11" s="1"/>
  <c r="J143" i="11"/>
  <c r="L143" i="11" s="1"/>
  <c r="N143" i="11" s="1"/>
  <c r="L281" i="8"/>
  <c r="N281" i="8" s="1"/>
  <c r="P281" i="8" s="1"/>
  <c r="L152" i="8"/>
  <c r="N152" i="8" s="1"/>
  <c r="P152" i="8" s="1"/>
  <c r="L121" i="8"/>
  <c r="J121" i="11"/>
  <c r="L121" i="11" s="1"/>
  <c r="N121" i="11" s="1"/>
  <c r="J281" i="11"/>
  <c r="L281" i="11" s="1"/>
  <c r="N281" i="11" s="1"/>
  <c r="J152" i="11"/>
  <c r="L152" i="11" s="1"/>
  <c r="N152" i="11" s="1"/>
  <c r="L256" i="8"/>
  <c r="N256" i="8" s="1"/>
  <c r="P256" i="8" s="1"/>
  <c r="J256" i="11"/>
  <c r="L256" i="11" s="1"/>
  <c r="N256" i="11" s="1"/>
  <c r="L309" i="8"/>
  <c r="N309" i="8" s="1"/>
  <c r="P309" i="8" s="1"/>
  <c r="L307" i="8"/>
  <c r="N307" i="8" s="1"/>
  <c r="P307" i="8" s="1"/>
  <c r="J309" i="11"/>
  <c r="L309" i="11" s="1"/>
  <c r="N309" i="11" s="1"/>
  <c r="J307" i="11"/>
  <c r="L307" i="11" s="1"/>
  <c r="N307" i="11" s="1"/>
  <c r="H248" i="11"/>
  <c r="L248" i="11" s="1"/>
  <c r="N248" i="11" s="1"/>
  <c r="L247" i="11"/>
  <c r="N247" i="11" s="1"/>
  <c r="O1188" i="15"/>
  <c r="Q1188" i="15" s="1"/>
  <c r="S1188" i="15" s="1"/>
  <c r="L139" i="8"/>
  <c r="N139" i="8" s="1"/>
  <c r="P139" i="8" s="1"/>
  <c r="J139" i="11"/>
  <c r="L139" i="11" s="1"/>
  <c r="N139" i="11" s="1"/>
  <c r="L173" i="8"/>
  <c r="N173" i="8" s="1"/>
  <c r="P173" i="8" s="1"/>
  <c r="L114" i="8"/>
  <c r="L137" i="8"/>
  <c r="N137" i="8" s="1"/>
  <c r="P137" i="8" s="1"/>
  <c r="L75" i="8"/>
  <c r="N75" i="8" s="1"/>
  <c r="P75" i="8" s="1"/>
  <c r="L74" i="8"/>
  <c r="N74" i="8" s="1"/>
  <c r="P74" i="8" s="1"/>
  <c r="L73" i="8"/>
  <c r="N73" i="8" s="1"/>
  <c r="P73" i="8" s="1"/>
  <c r="L72" i="8"/>
  <c r="N72" i="8" s="1"/>
  <c r="P72" i="8" s="1"/>
  <c r="L65" i="8"/>
  <c r="N65" i="8" s="1"/>
  <c r="P65" i="8" s="1"/>
  <c r="L64" i="8"/>
  <c r="N64" i="8" s="1"/>
  <c r="P64" i="8" s="1"/>
  <c r="L63" i="8"/>
  <c r="N63" i="8" s="1"/>
  <c r="P63" i="8" s="1"/>
  <c r="L62" i="8"/>
  <c r="N62" i="8" s="1"/>
  <c r="P62" i="8" s="1"/>
  <c r="J137" i="11"/>
  <c r="L137" i="11" s="1"/>
  <c r="N137" i="11" s="1"/>
  <c r="J173" i="11"/>
  <c r="L173" i="11" s="1"/>
  <c r="N173" i="11" s="1"/>
  <c r="L171" i="8"/>
  <c r="N171" i="8" s="1"/>
  <c r="P171" i="8" s="1"/>
  <c r="J171" i="11"/>
  <c r="L171" i="11" s="1"/>
  <c r="N171" i="11" s="1"/>
  <c r="L250" i="8"/>
  <c r="N250" i="8" s="1"/>
  <c r="P250" i="8" s="1"/>
  <c r="L265" i="8"/>
  <c r="N265" i="8" s="1"/>
  <c r="P265" i="8" s="1"/>
  <c r="J265" i="11"/>
  <c r="L265" i="11" s="1"/>
  <c r="N265" i="11" s="1"/>
  <c r="J250" i="11"/>
  <c r="L250" i="11" s="1"/>
  <c r="N250" i="11" s="1"/>
  <c r="L336" i="8"/>
  <c r="N336" i="8" s="1"/>
  <c r="P336" i="8" s="1"/>
  <c r="L335" i="8"/>
  <c r="N335" i="8" s="1"/>
  <c r="P335" i="8" s="1"/>
  <c r="J335" i="11"/>
  <c r="L335" i="11" s="1"/>
  <c r="N335" i="11" s="1"/>
  <c r="J336" i="11"/>
  <c r="L336" i="11" s="1"/>
  <c r="N336" i="11" s="1"/>
  <c r="L323" i="8"/>
  <c r="N323" i="8" s="1"/>
  <c r="P323" i="8" s="1"/>
  <c r="J323" i="11"/>
  <c r="L323" i="11" s="1"/>
  <c r="N323" i="11" s="1"/>
  <c r="E123" i="11"/>
  <c r="H122" i="11"/>
  <c r="L122" i="11" s="1"/>
  <c r="N122" i="11" s="1"/>
  <c r="E182" i="11"/>
  <c r="H181" i="11"/>
  <c r="L238" i="11"/>
  <c r="N238" i="11" s="1"/>
  <c r="L244" i="11"/>
  <c r="N244" i="11" s="1"/>
  <c r="L270" i="11"/>
  <c r="N270" i="11" s="1"/>
  <c r="I423" i="11"/>
  <c r="N4" i="8"/>
  <c r="P4" i="8" s="1"/>
  <c r="I412" i="11"/>
  <c r="N2" i="8"/>
  <c r="P2" i="8" s="1"/>
  <c r="H180" i="11"/>
  <c r="L180" i="11" s="1"/>
  <c r="N180" i="11" s="1"/>
  <c r="I422" i="11"/>
  <c r="N102" i="8"/>
  <c r="P102" i="8" s="1"/>
  <c r="N121" i="8"/>
  <c r="P121" i="8" s="1"/>
  <c r="G182" i="8"/>
  <c r="J181" i="8"/>
  <c r="L109" i="8"/>
  <c r="N114" i="8"/>
  <c r="P114" i="8" s="1"/>
  <c r="G124" i="8"/>
  <c r="J123" i="8"/>
  <c r="N123" i="8" s="1"/>
  <c r="P123" i="8" s="1"/>
  <c r="N110" i="8"/>
  <c r="P110" i="8" s="1"/>
  <c r="N237" i="8"/>
  <c r="P237" i="8" s="1"/>
  <c r="N239" i="8"/>
  <c r="P239" i="8" s="1"/>
  <c r="N279" i="8"/>
  <c r="N378" i="8"/>
  <c r="P378" i="8" s="1"/>
  <c r="J109" i="8"/>
  <c r="J122" i="8"/>
  <c r="N122" i="8" s="1"/>
  <c r="P122" i="8" s="1"/>
  <c r="J180" i="8"/>
  <c r="N180" i="8" s="1"/>
  <c r="P180" i="8" s="1"/>
  <c r="N257" i="8"/>
  <c r="P257" i="8" s="1"/>
  <c r="N379" i="8"/>
  <c r="P379" i="8" s="1"/>
  <c r="N236" i="8"/>
  <c r="P236" i="8" s="1"/>
  <c r="J247" i="8"/>
  <c r="N300" i="8"/>
  <c r="P300" i="8" s="1"/>
  <c r="N380" i="8"/>
  <c r="P380" i="8" s="1"/>
  <c r="N214" i="8"/>
  <c r="P214" i="8" s="1"/>
  <c r="N258" i="8"/>
  <c r="P258" i="8" s="1"/>
  <c r="N267" i="8"/>
  <c r="P267" i="8" s="1"/>
  <c r="N280" i="8"/>
  <c r="N291" i="8"/>
  <c r="P291" i="8" s="1"/>
  <c r="N381" i="8"/>
  <c r="P381" i="8" s="1"/>
  <c r="N15" i="4"/>
  <c r="S513" i="24" l="1"/>
  <c r="U513" i="24" s="1"/>
  <c r="Q517" i="24"/>
  <c r="S517" i="24" s="1"/>
  <c r="U517" i="24" s="1"/>
  <c r="O422" i="24"/>
  <c r="S421" i="24"/>
  <c r="U421" i="24" s="1"/>
  <c r="O756" i="24"/>
  <c r="S756" i="24" s="1"/>
  <c r="U756" i="24" s="1"/>
  <c r="Q930" i="24"/>
  <c r="S930" i="24" s="1"/>
  <c r="U930" i="24" s="1"/>
  <c r="C5" i="24"/>
  <c r="C6" i="24" s="1"/>
  <c r="E65" i="24"/>
  <c r="L181" i="11"/>
  <c r="N181" i="11" s="1"/>
  <c r="Q586" i="20"/>
  <c r="S586" i="20" s="1"/>
  <c r="U586" i="20" s="1"/>
  <c r="S512" i="24"/>
  <c r="U512" i="24" s="1"/>
  <c r="N400" i="11"/>
  <c r="I425" i="11"/>
  <c r="N109" i="8"/>
  <c r="P109" i="8" s="1"/>
  <c r="P392" i="8"/>
  <c r="K425" i="8"/>
  <c r="N181" i="8"/>
  <c r="P181" i="8" s="1"/>
  <c r="Q250" i="15"/>
  <c r="S250" i="15" s="1"/>
  <c r="S516" i="24"/>
  <c r="U516" i="24" s="1"/>
  <c r="A4" i="24"/>
  <c r="H920" i="24"/>
  <c r="Q920" i="24" s="1"/>
  <c r="H308" i="24"/>
  <c r="H310" i="24" s="1"/>
  <c r="H311" i="24" s="1"/>
  <c r="H312" i="24" s="1"/>
  <c r="H313" i="24" s="1"/>
  <c r="H1214" i="24"/>
  <c r="Q1214" i="24" s="1"/>
  <c r="H1213" i="24"/>
  <c r="O1214" i="24"/>
  <c r="S420" i="24"/>
  <c r="U420" i="24" s="1"/>
  <c r="S228" i="24"/>
  <c r="U228" i="24" s="1"/>
  <c r="H1042" i="24"/>
  <c r="H1043" i="24" s="1"/>
  <c r="Q1040" i="24"/>
  <c r="O999" i="24"/>
  <c r="S999" i="24" s="1"/>
  <c r="U999" i="24" s="1"/>
  <c r="S1037" i="24"/>
  <c r="U1037" i="24" s="1"/>
  <c r="O892" i="24"/>
  <c r="O589" i="24"/>
  <c r="S589" i="24" s="1"/>
  <c r="U589" i="24" s="1"/>
  <c r="O322" i="24"/>
  <c r="S322" i="24" s="1"/>
  <c r="U322" i="24" s="1"/>
  <c r="O268" i="24"/>
  <c r="O277" i="24"/>
  <c r="O139" i="24"/>
  <c r="S139" i="24" s="1"/>
  <c r="U139" i="24" s="1"/>
  <c r="O1134" i="24"/>
  <c r="S1134" i="24" s="1"/>
  <c r="U1134" i="24" s="1"/>
  <c r="H869" i="24"/>
  <c r="Q869" i="24" s="1"/>
  <c r="S869" i="24" s="1"/>
  <c r="U869" i="24" s="1"/>
  <c r="H870" i="24"/>
  <c r="H868" i="24"/>
  <c r="Q868" i="24" s="1"/>
  <c r="S868" i="24" s="1"/>
  <c r="U868" i="24" s="1"/>
  <c r="H867" i="24"/>
  <c r="Q867" i="24" s="1"/>
  <c r="S867" i="24" s="1"/>
  <c r="U867" i="24" s="1"/>
  <c r="Q865" i="24"/>
  <c r="S865" i="24" s="1"/>
  <c r="Q1143" i="24"/>
  <c r="H1144" i="24"/>
  <c r="O939" i="24"/>
  <c r="S939" i="24" s="1"/>
  <c r="U939" i="24" s="1"/>
  <c r="H924" i="24"/>
  <c r="Q923" i="24"/>
  <c r="O1038" i="24"/>
  <c r="S1038" i="24" s="1"/>
  <c r="U1038" i="24" s="1"/>
  <c r="O895" i="24"/>
  <c r="H586" i="24"/>
  <c r="H587" i="24"/>
  <c r="Q587" i="24" s="1"/>
  <c r="S587" i="24" s="1"/>
  <c r="U587" i="24" s="1"/>
  <c r="O507" i="24"/>
  <c r="S507" i="24" s="1"/>
  <c r="U507" i="24" s="1"/>
  <c r="O423" i="24"/>
  <c r="O382" i="24"/>
  <c r="S382" i="24" s="1"/>
  <c r="U382" i="24" s="1"/>
  <c r="O266" i="24"/>
  <c r="O275" i="24"/>
  <c r="H910" i="24"/>
  <c r="Q910" i="24" s="1"/>
  <c r="Q909" i="24"/>
  <c r="Q422" i="24"/>
  <c r="H423" i="24"/>
  <c r="O1064" i="24"/>
  <c r="S1064" i="24" s="1"/>
  <c r="U1064" i="24" s="1"/>
  <c r="O893" i="24"/>
  <c r="O447" i="24"/>
  <c r="S447" i="24" s="1"/>
  <c r="U447" i="24" s="1"/>
  <c r="Q313" i="24"/>
  <c r="S313" i="24" s="1"/>
  <c r="U313" i="24" s="1"/>
  <c r="S312" i="24"/>
  <c r="U312" i="24" s="1"/>
  <c r="Q247" i="24"/>
  <c r="S247" i="24" s="1"/>
  <c r="U247" i="24" s="1"/>
  <c r="N247" i="8"/>
  <c r="P247" i="8" s="1"/>
  <c r="J248" i="8"/>
  <c r="N248" i="8" s="1"/>
  <c r="P248" i="8" s="1"/>
  <c r="P384" i="8"/>
  <c r="E183" i="11"/>
  <c r="H182" i="11"/>
  <c r="L182" i="11" s="1"/>
  <c r="N182" i="11" s="1"/>
  <c r="E124" i="11"/>
  <c r="H123" i="11"/>
  <c r="L123" i="11" s="1"/>
  <c r="N123" i="11" s="1"/>
  <c r="K413" i="8"/>
  <c r="K415" i="8" s="1"/>
  <c r="J1220" i="15"/>
  <c r="M1218" i="15"/>
  <c r="Q1218" i="15" s="1"/>
  <c r="S1218" i="15" s="1"/>
  <c r="J1135" i="15"/>
  <c r="M1134" i="15"/>
  <c r="Q1134" i="15" s="1"/>
  <c r="S1134" i="15" s="1"/>
  <c r="Q929" i="15"/>
  <c r="S929" i="15" s="1"/>
  <c r="O930" i="15"/>
  <c r="Q930" i="15" s="1"/>
  <c r="S930" i="15" s="1"/>
  <c r="M884" i="15"/>
  <c r="J889" i="15"/>
  <c r="J894" i="15" s="1"/>
  <c r="J1012" i="15"/>
  <c r="M1000" i="15"/>
  <c r="Q1000" i="15" s="1"/>
  <c r="S1000" i="15" s="1"/>
  <c r="M893" i="15"/>
  <c r="J898" i="15"/>
  <c r="J516" i="15"/>
  <c r="J515" i="15"/>
  <c r="M515" i="15" s="1"/>
  <c r="J281" i="15"/>
  <c r="M276" i="15"/>
  <c r="M1196" i="20"/>
  <c r="Q1196" i="20" s="1"/>
  <c r="S1196" i="20" s="1"/>
  <c r="U1196" i="20" s="1"/>
  <c r="J1197" i="20"/>
  <c r="M1197" i="20" s="1"/>
  <c r="Q1197" i="20" s="1"/>
  <c r="S1197" i="20" s="1"/>
  <c r="U1197" i="20" s="1"/>
  <c r="J279" i="15"/>
  <c r="M274" i="15"/>
  <c r="I1143" i="20"/>
  <c r="O1142" i="20"/>
  <c r="J280" i="15"/>
  <c r="M275" i="15"/>
  <c r="M998" i="20"/>
  <c r="Q998" i="20" s="1"/>
  <c r="S998" i="20" s="1"/>
  <c r="U998" i="20" s="1"/>
  <c r="J999" i="20"/>
  <c r="Q1213" i="20"/>
  <c r="S1213" i="20" s="1"/>
  <c r="U1213" i="20" s="1"/>
  <c r="M506" i="20"/>
  <c r="Q506" i="20" s="1"/>
  <c r="S506" i="20" s="1"/>
  <c r="U506" i="20" s="1"/>
  <c r="J507" i="20"/>
  <c r="M588" i="20"/>
  <c r="Q588" i="20" s="1"/>
  <c r="S588" i="20" s="1"/>
  <c r="U588" i="20" s="1"/>
  <c r="J590" i="20"/>
  <c r="I513" i="20"/>
  <c r="I515" i="20" s="1"/>
  <c r="O512" i="20"/>
  <c r="Q512" i="20" s="1"/>
  <c r="S512" i="20" s="1"/>
  <c r="U512" i="20" s="1"/>
  <c r="J272" i="20"/>
  <c r="J277" i="20" s="1"/>
  <c r="M267" i="20"/>
  <c r="M447" i="20"/>
  <c r="Q447" i="20" s="1"/>
  <c r="S447" i="20" s="1"/>
  <c r="U447" i="20" s="1"/>
  <c r="J448" i="20"/>
  <c r="J279" i="20"/>
  <c r="M274" i="20"/>
  <c r="I252" i="20"/>
  <c r="I250" i="20"/>
  <c r="O250" i="20" s="1"/>
  <c r="Q250" i="20" s="1"/>
  <c r="S250" i="20" s="1"/>
  <c r="U250" i="20" s="1"/>
  <c r="O247" i="20"/>
  <c r="Q247" i="20" s="1"/>
  <c r="I251" i="20"/>
  <c r="O251" i="20" s="1"/>
  <c r="Q251" i="20" s="1"/>
  <c r="S251" i="20" s="1"/>
  <c r="U251" i="20" s="1"/>
  <c r="I249" i="20"/>
  <c r="O249" i="20" s="1"/>
  <c r="Q249" i="20" s="1"/>
  <c r="S249" i="20" s="1"/>
  <c r="U249" i="20" s="1"/>
  <c r="M1038" i="15"/>
  <c r="Q1038" i="15" s="1"/>
  <c r="S1038" i="15" s="1"/>
  <c r="J1039" i="15"/>
  <c r="O1039" i="15"/>
  <c r="I1040" i="15"/>
  <c r="M943" i="15"/>
  <c r="Q943" i="15" s="1"/>
  <c r="S943" i="15" s="1"/>
  <c r="J945" i="15"/>
  <c r="J946" i="15" s="1"/>
  <c r="M446" i="15"/>
  <c r="Q446" i="15" s="1"/>
  <c r="S446" i="15" s="1"/>
  <c r="J447" i="15"/>
  <c r="J588" i="15"/>
  <c r="M586" i="15"/>
  <c r="Q586" i="15" s="1"/>
  <c r="S586" i="15" s="1"/>
  <c r="I422" i="15"/>
  <c r="O421" i="15"/>
  <c r="Q421" i="15" s="1"/>
  <c r="S421" i="15" s="1"/>
  <c r="I254" i="15"/>
  <c r="O252" i="15"/>
  <c r="Q252" i="15" s="1"/>
  <c r="S252" i="15" s="1"/>
  <c r="I257" i="15"/>
  <c r="I256" i="15"/>
  <c r="I255" i="15"/>
  <c r="M1215" i="20"/>
  <c r="Q1215" i="20" s="1"/>
  <c r="S1215" i="20" s="1"/>
  <c r="U1215" i="20" s="1"/>
  <c r="J1217" i="20"/>
  <c r="M941" i="20"/>
  <c r="Q941" i="20" s="1"/>
  <c r="S941" i="20" s="1"/>
  <c r="U941" i="20" s="1"/>
  <c r="J942" i="20"/>
  <c r="O923" i="20"/>
  <c r="I924" i="20"/>
  <c r="M893" i="20"/>
  <c r="J898" i="20"/>
  <c r="O305" i="20"/>
  <c r="I306" i="20"/>
  <c r="M516" i="20"/>
  <c r="J518" i="20"/>
  <c r="J519" i="20" s="1"/>
  <c r="J270" i="20"/>
  <c r="J275" i="20" s="1"/>
  <c r="M265" i="20"/>
  <c r="D5" i="20"/>
  <c r="C4" i="20"/>
  <c r="G125" i="8"/>
  <c r="J124" i="8"/>
  <c r="N124" i="8" s="1"/>
  <c r="P124" i="8" s="1"/>
  <c r="G183" i="8"/>
  <c r="J182" i="8"/>
  <c r="N182" i="8" s="1"/>
  <c r="P182" i="8" s="1"/>
  <c r="I424" i="11"/>
  <c r="I426" i="11" s="1"/>
  <c r="I427" i="11" s="1"/>
  <c r="K424" i="8"/>
  <c r="M1140" i="15"/>
  <c r="J1141" i="15"/>
  <c r="J1065" i="15"/>
  <c r="M1064" i="15"/>
  <c r="Q1064" i="15" s="1"/>
  <c r="S1064" i="15" s="1"/>
  <c r="O923" i="15"/>
  <c r="I924" i="15"/>
  <c r="M885" i="15"/>
  <c r="J890" i="15"/>
  <c r="J895" i="15" s="1"/>
  <c r="J394" i="15"/>
  <c r="M382" i="15"/>
  <c r="Q382" i="15" s="1"/>
  <c r="S382" i="15" s="1"/>
  <c r="J282" i="15"/>
  <c r="M277" i="15"/>
  <c r="M1064" i="20"/>
  <c r="Q1064" i="20" s="1"/>
  <c r="S1064" i="20" s="1"/>
  <c r="U1064" i="20" s="1"/>
  <c r="J1065" i="20"/>
  <c r="I1041" i="20"/>
  <c r="I1042" i="20" s="1"/>
  <c r="O1039" i="20"/>
  <c r="J899" i="20"/>
  <c r="M894" i="20"/>
  <c r="Q1037" i="20"/>
  <c r="S1037" i="20" s="1"/>
  <c r="U1037" i="20" s="1"/>
  <c r="J325" i="20"/>
  <c r="M324" i="20"/>
  <c r="Q324" i="20" s="1"/>
  <c r="S324" i="20" s="1"/>
  <c r="U324" i="20" s="1"/>
  <c r="M382" i="20"/>
  <c r="Q382" i="20" s="1"/>
  <c r="S382" i="20" s="1"/>
  <c r="U382" i="20" s="1"/>
  <c r="J394" i="20"/>
  <c r="J281" i="20"/>
  <c r="M276" i="20"/>
  <c r="N384" i="11"/>
  <c r="I413" i="11"/>
  <c r="I415" i="11" s="1"/>
  <c r="I1214" i="15"/>
  <c r="O1214" i="15" s="1"/>
  <c r="Q1214" i="15" s="1"/>
  <c r="S1214" i="15" s="1"/>
  <c r="I1213" i="15"/>
  <c r="I1141" i="15"/>
  <c r="I1143" i="15" s="1"/>
  <c r="O1140" i="15"/>
  <c r="O909" i="15"/>
  <c r="I910" i="15"/>
  <c r="O910" i="15" s="1"/>
  <c r="I868" i="15"/>
  <c r="O868" i="15" s="1"/>
  <c r="Q868" i="15" s="1"/>
  <c r="S868" i="15" s="1"/>
  <c r="I870" i="15"/>
  <c r="I867" i="15"/>
  <c r="O867" i="15" s="1"/>
  <c r="Q867" i="15" s="1"/>
  <c r="S867" i="15" s="1"/>
  <c r="I869" i="15"/>
  <c r="O869" i="15" s="1"/>
  <c r="Q869" i="15" s="1"/>
  <c r="S869" i="15" s="1"/>
  <c r="O865" i="15"/>
  <c r="Q865" i="15" s="1"/>
  <c r="S865" i="15" s="1"/>
  <c r="M569" i="15"/>
  <c r="Q569" i="15" s="1"/>
  <c r="S569" i="15" s="1"/>
  <c r="J570" i="15"/>
  <c r="M570" i="15" s="1"/>
  <c r="Q570" i="15" s="1"/>
  <c r="S570" i="15" s="1"/>
  <c r="M892" i="15"/>
  <c r="J897" i="15"/>
  <c r="O512" i="15"/>
  <c r="Q512" i="15" s="1"/>
  <c r="S512" i="15" s="1"/>
  <c r="I513" i="15"/>
  <c r="I515" i="15" s="1"/>
  <c r="M507" i="15"/>
  <c r="Q507" i="15" s="1"/>
  <c r="S507" i="15" s="1"/>
  <c r="J508" i="15"/>
  <c r="M508" i="15" s="1"/>
  <c r="Q508" i="15" s="1"/>
  <c r="S508" i="15" s="1"/>
  <c r="M426" i="15"/>
  <c r="J427" i="15"/>
  <c r="J429" i="15" s="1"/>
  <c r="Q420" i="15"/>
  <c r="S420" i="15" s="1"/>
  <c r="Q251" i="15"/>
  <c r="S251" i="15" s="1"/>
  <c r="M321" i="15"/>
  <c r="Q321" i="15" s="1"/>
  <c r="S321" i="15" s="1"/>
  <c r="J324" i="15"/>
  <c r="C4" i="15"/>
  <c r="D5" i="15"/>
  <c r="O306" i="15"/>
  <c r="I307" i="15"/>
  <c r="J1135" i="20"/>
  <c r="M1135" i="20" s="1"/>
  <c r="Q1135" i="20" s="1"/>
  <c r="S1135" i="20" s="1"/>
  <c r="U1135" i="20" s="1"/>
  <c r="M1134" i="20"/>
  <c r="Q1134" i="20" s="1"/>
  <c r="S1134" i="20" s="1"/>
  <c r="U1134" i="20" s="1"/>
  <c r="J1142" i="20"/>
  <c r="M1142" i="20" s="1"/>
  <c r="J1143" i="20"/>
  <c r="J887" i="20"/>
  <c r="J892" i="20" s="1"/>
  <c r="M882" i="20"/>
  <c r="I869" i="20"/>
  <c r="I867" i="20"/>
  <c r="O867" i="20" s="1"/>
  <c r="Q867" i="20" s="1"/>
  <c r="S867" i="20" s="1"/>
  <c r="U867" i="20" s="1"/>
  <c r="O864" i="20"/>
  <c r="Q864" i="20" s="1"/>
  <c r="I868" i="20"/>
  <c r="O868" i="20" s="1"/>
  <c r="Q868" i="20" s="1"/>
  <c r="S868" i="20" s="1"/>
  <c r="U868" i="20" s="1"/>
  <c r="I866" i="20"/>
  <c r="O866" i="20" s="1"/>
  <c r="Q866" i="20" s="1"/>
  <c r="S866" i="20" s="1"/>
  <c r="U866" i="20" s="1"/>
  <c r="J1039" i="20"/>
  <c r="M1038" i="20"/>
  <c r="Q1038" i="20" s="1"/>
  <c r="S1038" i="20" s="1"/>
  <c r="U1038" i="20" s="1"/>
  <c r="J896" i="20"/>
  <c r="M891" i="20"/>
  <c r="O420" i="20"/>
  <c r="Q420" i="20" s="1"/>
  <c r="S420" i="20" s="1"/>
  <c r="U420" i="20" s="1"/>
  <c r="I421" i="20"/>
  <c r="O291" i="20"/>
  <c r="I292" i="20"/>
  <c r="O292" i="20" s="1"/>
  <c r="J424" i="20"/>
  <c r="J425" i="20" s="1"/>
  <c r="M422" i="20"/>
  <c r="K426" i="8" l="1"/>
  <c r="K427" i="8" s="1"/>
  <c r="A5" i="24"/>
  <c r="O894" i="24"/>
  <c r="Q308" i="24"/>
  <c r="S422" i="24"/>
  <c r="U422" i="24" s="1"/>
  <c r="O1143" i="24"/>
  <c r="S1143" i="24" s="1"/>
  <c r="U1143" i="24" s="1"/>
  <c r="O520" i="24"/>
  <c r="S520" i="24" s="1"/>
  <c r="U520" i="24" s="1"/>
  <c r="Q1142" i="20"/>
  <c r="S1142" i="20" s="1"/>
  <c r="U1142" i="20" s="1"/>
  <c r="S1214" i="24"/>
  <c r="U1214" i="24" s="1"/>
  <c r="O1216" i="24"/>
  <c r="S1216" i="24" s="1"/>
  <c r="U1216" i="24" s="1"/>
  <c r="O325" i="24"/>
  <c r="S325" i="24" s="1"/>
  <c r="U325" i="24" s="1"/>
  <c r="H318" i="24"/>
  <c r="H317" i="24"/>
  <c r="H315" i="24"/>
  <c r="H316" i="24"/>
  <c r="O448" i="24"/>
  <c r="S448" i="24" s="1"/>
  <c r="U448" i="24" s="1"/>
  <c r="O383" i="24"/>
  <c r="S383" i="24" s="1"/>
  <c r="U383" i="24" s="1"/>
  <c r="O508" i="24"/>
  <c r="S508" i="24" s="1"/>
  <c r="U508" i="24" s="1"/>
  <c r="O509" i="24"/>
  <c r="S509" i="24" s="1"/>
  <c r="U509" i="24" s="1"/>
  <c r="O1039" i="24"/>
  <c r="S1039" i="24" s="1"/>
  <c r="U1039" i="24" s="1"/>
  <c r="O278" i="24"/>
  <c r="O897" i="24"/>
  <c r="O899" i="24"/>
  <c r="E417" i="24"/>
  <c r="C7" i="24"/>
  <c r="A6" i="24"/>
  <c r="O1065" i="24"/>
  <c r="S1065" i="24" s="1"/>
  <c r="U1065" i="24" s="1"/>
  <c r="O1144" i="24"/>
  <c r="O276" i="24"/>
  <c r="O521" i="24"/>
  <c r="S521" i="24" s="1"/>
  <c r="U521" i="24" s="1"/>
  <c r="H253" i="24"/>
  <c r="H251" i="24"/>
  <c r="Q251" i="24" s="1"/>
  <c r="S251" i="24" s="1"/>
  <c r="U251" i="24" s="1"/>
  <c r="Q248" i="24"/>
  <c r="S248" i="24" s="1"/>
  <c r="H252" i="24"/>
  <c r="Q252" i="24" s="1"/>
  <c r="S252" i="24" s="1"/>
  <c r="U252" i="24" s="1"/>
  <c r="H250" i="24"/>
  <c r="Q250" i="24" s="1"/>
  <c r="S250" i="24" s="1"/>
  <c r="U250" i="24" s="1"/>
  <c r="H425" i="24"/>
  <c r="H426" i="24" s="1"/>
  <c r="Q423" i="24"/>
  <c r="S423" i="24" s="1"/>
  <c r="U423" i="24" s="1"/>
  <c r="O280" i="24"/>
  <c r="O900" i="24"/>
  <c r="O942" i="24"/>
  <c r="S942" i="24" s="1"/>
  <c r="U942" i="24" s="1"/>
  <c r="O1135" i="24"/>
  <c r="S1135" i="24" s="1"/>
  <c r="U1135" i="24" s="1"/>
  <c r="O1136" i="24"/>
  <c r="S1136" i="24" s="1"/>
  <c r="U1136" i="24" s="1"/>
  <c r="O282" i="24"/>
  <c r="O591" i="24"/>
  <c r="S591" i="24" s="1"/>
  <c r="U591" i="24" s="1"/>
  <c r="H925" i="24"/>
  <c r="Q924" i="24"/>
  <c r="O898" i="24"/>
  <c r="O426" i="24"/>
  <c r="H1146" i="24"/>
  <c r="Q1144" i="24"/>
  <c r="H875" i="24"/>
  <c r="H874" i="24"/>
  <c r="H873" i="24"/>
  <c r="H872" i="24"/>
  <c r="Q870" i="24"/>
  <c r="S870" i="24" s="1"/>
  <c r="U870" i="24" s="1"/>
  <c r="O1000" i="24"/>
  <c r="S1000" i="24" s="1"/>
  <c r="U1000" i="24" s="1"/>
  <c r="H1044" i="24"/>
  <c r="Q1043" i="24"/>
  <c r="M897" i="15"/>
  <c r="J902" i="15"/>
  <c r="J907" i="15" s="1"/>
  <c r="I1144" i="15"/>
  <c r="O1143" i="15"/>
  <c r="Q1140" i="15"/>
  <c r="S1140" i="15" s="1"/>
  <c r="G126" i="8"/>
  <c r="J125" i="8"/>
  <c r="N125" i="8" s="1"/>
  <c r="P125" i="8" s="1"/>
  <c r="I307" i="20"/>
  <c r="O306" i="20"/>
  <c r="J1219" i="20"/>
  <c r="M1217" i="20"/>
  <c r="Q1217" i="20" s="1"/>
  <c r="S1217" i="20" s="1"/>
  <c r="U1217" i="20" s="1"/>
  <c r="I1042" i="15"/>
  <c r="I1043" i="15" s="1"/>
  <c r="O1040" i="15"/>
  <c r="J282" i="20"/>
  <c r="M277" i="20"/>
  <c r="J592" i="20"/>
  <c r="M590" i="20"/>
  <c r="Q590" i="20" s="1"/>
  <c r="S590" i="20" s="1"/>
  <c r="U590" i="20" s="1"/>
  <c r="I1145" i="20"/>
  <c r="O1143" i="20"/>
  <c r="M894" i="15"/>
  <c r="J899" i="15"/>
  <c r="E184" i="11"/>
  <c r="H183" i="11"/>
  <c r="L183" i="11" s="1"/>
  <c r="N183" i="11" s="1"/>
  <c r="J901" i="20"/>
  <c r="J906" i="20" s="1"/>
  <c r="M896" i="20"/>
  <c r="I309" i="15"/>
  <c r="I310" i="15" s="1"/>
  <c r="I311" i="15" s="1"/>
  <c r="I312" i="15" s="1"/>
  <c r="O307" i="15"/>
  <c r="I1043" i="20"/>
  <c r="O1042" i="20"/>
  <c r="M282" i="15"/>
  <c r="J287" i="15"/>
  <c r="J292" i="15" s="1"/>
  <c r="M895" i="15"/>
  <c r="J900" i="15"/>
  <c r="J280" i="20"/>
  <c r="M275" i="20"/>
  <c r="J944" i="20"/>
  <c r="J945" i="20" s="1"/>
  <c r="M942" i="20"/>
  <c r="Q942" i="20" s="1"/>
  <c r="S942" i="20" s="1"/>
  <c r="U942" i="20" s="1"/>
  <c r="I254" i="20"/>
  <c r="O254" i="20" s="1"/>
  <c r="Q254" i="20" s="1"/>
  <c r="S254" i="20" s="1"/>
  <c r="U254" i="20" s="1"/>
  <c r="O252" i="20"/>
  <c r="Q252" i="20" s="1"/>
  <c r="S252" i="20" s="1"/>
  <c r="U252" i="20" s="1"/>
  <c r="I256" i="20"/>
  <c r="O256" i="20" s="1"/>
  <c r="Q256" i="20" s="1"/>
  <c r="S256" i="20" s="1"/>
  <c r="U256" i="20" s="1"/>
  <c r="I257" i="20"/>
  <c r="I255" i="20"/>
  <c r="O255" i="20" s="1"/>
  <c r="Q255" i="20" s="1"/>
  <c r="S255" i="20" s="1"/>
  <c r="U255" i="20" s="1"/>
  <c r="M448" i="20"/>
  <c r="Q448" i="20" s="1"/>
  <c r="S448" i="20" s="1"/>
  <c r="U448" i="20" s="1"/>
  <c r="J449" i="20"/>
  <c r="M516" i="15"/>
  <c r="J518" i="15"/>
  <c r="J519" i="15" s="1"/>
  <c r="J1136" i="15"/>
  <c r="M1136" i="15" s="1"/>
  <c r="Q1136" i="15" s="1"/>
  <c r="S1136" i="15" s="1"/>
  <c r="M1135" i="15"/>
  <c r="Q1135" i="15" s="1"/>
  <c r="S1135" i="15" s="1"/>
  <c r="I872" i="20"/>
  <c r="I871" i="20"/>
  <c r="O869" i="20"/>
  <c r="Q869" i="20" s="1"/>
  <c r="S869" i="20" s="1"/>
  <c r="U869" i="20" s="1"/>
  <c r="I874" i="20"/>
  <c r="I873" i="20"/>
  <c r="I422" i="20"/>
  <c r="O421" i="20"/>
  <c r="Q421" i="20" s="1"/>
  <c r="S421" i="20" s="1"/>
  <c r="U421" i="20" s="1"/>
  <c r="J325" i="15"/>
  <c r="M324" i="15"/>
  <c r="Q324" i="15" s="1"/>
  <c r="S324" i="15" s="1"/>
  <c r="J430" i="15"/>
  <c r="M429" i="15"/>
  <c r="Q429" i="15" s="1"/>
  <c r="S429" i="15" s="1"/>
  <c r="I516" i="15"/>
  <c r="O515" i="15"/>
  <c r="Q515" i="15" s="1"/>
  <c r="S515" i="15" s="1"/>
  <c r="M281" i="20"/>
  <c r="J286" i="20"/>
  <c r="J291" i="20" s="1"/>
  <c r="M1065" i="20"/>
  <c r="Q1065" i="20" s="1"/>
  <c r="S1065" i="20" s="1"/>
  <c r="U1065" i="20" s="1"/>
  <c r="J1066" i="20"/>
  <c r="J1066" i="15"/>
  <c r="M1065" i="15"/>
  <c r="Q1065" i="15" s="1"/>
  <c r="S1065" i="15" s="1"/>
  <c r="G184" i="8"/>
  <c r="J183" i="8"/>
  <c r="N183" i="8" s="1"/>
  <c r="P183" i="8" s="1"/>
  <c r="F416" i="20"/>
  <c r="C5" i="20"/>
  <c r="D6" i="20"/>
  <c r="J520" i="20"/>
  <c r="M519" i="20"/>
  <c r="Q519" i="20" s="1"/>
  <c r="S519" i="20" s="1"/>
  <c r="U519" i="20" s="1"/>
  <c r="I262" i="15"/>
  <c r="I260" i="15"/>
  <c r="I261" i="15"/>
  <c r="I259" i="15"/>
  <c r="I424" i="15"/>
  <c r="I425" i="15" s="1"/>
  <c r="O422" i="15"/>
  <c r="Q422" i="15" s="1"/>
  <c r="S422" i="15" s="1"/>
  <c r="J590" i="15"/>
  <c r="M588" i="15"/>
  <c r="Q588" i="15" s="1"/>
  <c r="S588" i="15" s="1"/>
  <c r="J947" i="15"/>
  <c r="M946" i="15"/>
  <c r="Q946" i="15" s="1"/>
  <c r="S946" i="15" s="1"/>
  <c r="M1039" i="15"/>
  <c r="Q1039" i="15" s="1"/>
  <c r="S1039" i="15" s="1"/>
  <c r="J1040" i="15"/>
  <c r="O515" i="20"/>
  <c r="Q515" i="20" s="1"/>
  <c r="S515" i="20" s="1"/>
  <c r="U515" i="20" s="1"/>
  <c r="I516" i="20"/>
  <c r="J285" i="15"/>
  <c r="J290" i="15" s="1"/>
  <c r="M280" i="15"/>
  <c r="J284" i="15"/>
  <c r="J289" i="15" s="1"/>
  <c r="M279" i="15"/>
  <c r="J286" i="15"/>
  <c r="J291" i="15" s="1"/>
  <c r="M281" i="15"/>
  <c r="J1013" i="15"/>
  <c r="M1012" i="15"/>
  <c r="Q1012" i="15" s="1"/>
  <c r="S1012" i="15" s="1"/>
  <c r="E125" i="11"/>
  <c r="H124" i="11"/>
  <c r="L124" i="11" s="1"/>
  <c r="N124" i="11" s="1"/>
  <c r="M892" i="20"/>
  <c r="J897" i="20"/>
  <c r="J426" i="20"/>
  <c r="M425" i="20"/>
  <c r="J1041" i="20"/>
  <c r="J1042" i="20" s="1"/>
  <c r="M1039" i="20"/>
  <c r="Q1039" i="20" s="1"/>
  <c r="S1039" i="20" s="1"/>
  <c r="U1039" i="20" s="1"/>
  <c r="J1145" i="20"/>
  <c r="J1146" i="20" s="1"/>
  <c r="M1143" i="20"/>
  <c r="Q1143" i="20" s="1"/>
  <c r="S1143" i="20" s="1"/>
  <c r="U1143" i="20" s="1"/>
  <c r="F416" i="15"/>
  <c r="C5" i="15"/>
  <c r="D6" i="15"/>
  <c r="I875" i="15"/>
  <c r="O870" i="15"/>
  <c r="Q870" i="15" s="1"/>
  <c r="S870" i="15" s="1"/>
  <c r="I873" i="15"/>
  <c r="I874" i="15"/>
  <c r="I872" i="15"/>
  <c r="M394" i="20"/>
  <c r="Q394" i="20" s="1"/>
  <c r="S394" i="20" s="1"/>
  <c r="U394" i="20" s="1"/>
  <c r="J395" i="20"/>
  <c r="J327" i="20"/>
  <c r="J328" i="20" s="1"/>
  <c r="M325" i="20"/>
  <c r="Q325" i="20" s="1"/>
  <c r="S325" i="20" s="1"/>
  <c r="U325" i="20" s="1"/>
  <c r="M899" i="20"/>
  <c r="J904" i="20"/>
  <c r="J909" i="20" s="1"/>
  <c r="M394" i="15"/>
  <c r="Q394" i="15" s="1"/>
  <c r="S394" i="15" s="1"/>
  <c r="J395" i="15"/>
  <c r="O924" i="15"/>
  <c r="I925" i="15"/>
  <c r="J1144" i="15"/>
  <c r="J1143" i="15"/>
  <c r="M1143" i="15" s="1"/>
  <c r="M898" i="20"/>
  <c r="J903" i="20"/>
  <c r="J908" i="20" s="1"/>
  <c r="I926" i="20"/>
  <c r="I927" i="20" s="1"/>
  <c r="I928" i="20" s="1"/>
  <c r="I929" i="20" s="1"/>
  <c r="O924" i="20"/>
  <c r="M447" i="15"/>
  <c r="Q447" i="15" s="1"/>
  <c r="S447" i="15" s="1"/>
  <c r="J448" i="15"/>
  <c r="J284" i="20"/>
  <c r="J289" i="20" s="1"/>
  <c r="M279" i="20"/>
  <c r="M507" i="20"/>
  <c r="Q507" i="20" s="1"/>
  <c r="S507" i="20" s="1"/>
  <c r="U507" i="20" s="1"/>
  <c r="J508" i="20"/>
  <c r="M508" i="20" s="1"/>
  <c r="Q508" i="20" s="1"/>
  <c r="S508" i="20" s="1"/>
  <c r="U508" i="20" s="1"/>
  <c r="M999" i="20"/>
  <c r="Q999" i="20" s="1"/>
  <c r="S999" i="20" s="1"/>
  <c r="U999" i="20" s="1"/>
  <c r="J1011" i="20"/>
  <c r="M898" i="15"/>
  <c r="J903" i="15"/>
  <c r="J908" i="15" s="1"/>
  <c r="J1221" i="15"/>
  <c r="J1226" i="15" s="1"/>
  <c r="J1227" i="15" s="1"/>
  <c r="J1228" i="15" s="1"/>
  <c r="J1229" i="15" s="1"/>
  <c r="J1230" i="15" s="1"/>
  <c r="M1220" i="15"/>
  <c r="Q1220" i="15" s="1"/>
  <c r="S1220" i="15" s="1"/>
  <c r="Q1143" i="15" l="1"/>
  <c r="S1143" i="15" s="1"/>
  <c r="S1144" i="24"/>
  <c r="U1144" i="24" s="1"/>
  <c r="O1218" i="24"/>
  <c r="S1218" i="24" s="1"/>
  <c r="U1218" i="24" s="1"/>
  <c r="H1045" i="24"/>
  <c r="Q1044" i="24"/>
  <c r="H880" i="24"/>
  <c r="H879" i="24"/>
  <c r="Q879" i="24" s="1"/>
  <c r="S879" i="24" s="1"/>
  <c r="U879" i="24" s="1"/>
  <c r="H878" i="24"/>
  <c r="Q878" i="24" s="1"/>
  <c r="S878" i="24" s="1"/>
  <c r="U878" i="24" s="1"/>
  <c r="H877" i="24"/>
  <c r="Q877" i="24" s="1"/>
  <c r="S877" i="24" s="1"/>
  <c r="U877" i="24" s="1"/>
  <c r="O593" i="24"/>
  <c r="S593" i="24" s="1"/>
  <c r="U593" i="24" s="1"/>
  <c r="O910" i="24"/>
  <c r="S910" i="24" s="1"/>
  <c r="U910" i="24" s="1"/>
  <c r="H427" i="24"/>
  <c r="Q426" i="24"/>
  <c r="S426" i="24" s="1"/>
  <c r="U426" i="24" s="1"/>
  <c r="O522" i="24"/>
  <c r="S522" i="24" s="1"/>
  <c r="U522" i="24" s="1"/>
  <c r="A7" i="24"/>
  <c r="C8" i="24"/>
  <c r="O1012" i="24"/>
  <c r="S1012" i="24" s="1"/>
  <c r="U1012" i="24" s="1"/>
  <c r="O427" i="24"/>
  <c r="O908" i="24"/>
  <c r="S908" i="24" s="1"/>
  <c r="U908" i="24" s="1"/>
  <c r="H927" i="24"/>
  <c r="H928" i="24" s="1"/>
  <c r="H929" i="24" s="1"/>
  <c r="H930" i="24" s="1"/>
  <c r="Q925" i="24"/>
  <c r="O292" i="24"/>
  <c r="S292" i="24" s="1"/>
  <c r="U292" i="24" s="1"/>
  <c r="O290" i="24"/>
  <c r="S290" i="24" s="1"/>
  <c r="U290" i="24" s="1"/>
  <c r="O281" i="24"/>
  <c r="O1066" i="24"/>
  <c r="S1066" i="24" s="1"/>
  <c r="U1066" i="24" s="1"/>
  <c r="O907" i="24"/>
  <c r="S907" i="24" s="1"/>
  <c r="U907" i="24" s="1"/>
  <c r="O326" i="24"/>
  <c r="S326" i="24" s="1"/>
  <c r="U326" i="24" s="1"/>
  <c r="O1040" i="24"/>
  <c r="S1040" i="24" s="1"/>
  <c r="U1040" i="24" s="1"/>
  <c r="O943" i="24"/>
  <c r="S943" i="24" s="1"/>
  <c r="U943" i="24" s="1"/>
  <c r="H258" i="24"/>
  <c r="H256" i="24"/>
  <c r="Q256" i="24" s="1"/>
  <c r="S256" i="24" s="1"/>
  <c r="U256" i="24" s="1"/>
  <c r="H255" i="24"/>
  <c r="Q255" i="24" s="1"/>
  <c r="S255" i="24" s="1"/>
  <c r="U255" i="24" s="1"/>
  <c r="Q253" i="24"/>
  <c r="S253" i="24" s="1"/>
  <c r="U253" i="24" s="1"/>
  <c r="H257" i="24"/>
  <c r="Q257" i="24" s="1"/>
  <c r="S257" i="24" s="1"/>
  <c r="U257" i="24" s="1"/>
  <c r="O395" i="24"/>
  <c r="S395" i="24" s="1"/>
  <c r="U395" i="24" s="1"/>
  <c r="O1147" i="24"/>
  <c r="S1147" i="24" s="1"/>
  <c r="U1147" i="24" s="1"/>
  <c r="O909" i="24"/>
  <c r="S909" i="24" s="1"/>
  <c r="U909" i="24" s="1"/>
  <c r="O283" i="24"/>
  <c r="O449" i="24"/>
  <c r="S449" i="24" s="1"/>
  <c r="U449" i="24" s="1"/>
  <c r="J294" i="20"/>
  <c r="M289" i="20"/>
  <c r="Q289" i="20" s="1"/>
  <c r="S289" i="20" s="1"/>
  <c r="U289" i="20" s="1"/>
  <c r="I934" i="20"/>
  <c r="I933" i="20"/>
  <c r="I932" i="20"/>
  <c r="I931" i="20"/>
  <c r="J396" i="15"/>
  <c r="M395" i="15"/>
  <c r="Q395" i="15" s="1"/>
  <c r="S395" i="15" s="1"/>
  <c r="I880" i="15"/>
  <c r="I879" i="15"/>
  <c r="I878" i="15"/>
  <c r="I877" i="15"/>
  <c r="J1043" i="20"/>
  <c r="M1042" i="20"/>
  <c r="Q1042" i="20" s="1"/>
  <c r="S1042" i="20" s="1"/>
  <c r="U1042" i="20" s="1"/>
  <c r="M1013" i="15"/>
  <c r="Q1013" i="15" s="1"/>
  <c r="S1013" i="15" s="1"/>
  <c r="J1014" i="15"/>
  <c r="J294" i="15"/>
  <c r="M289" i="15"/>
  <c r="Q289" i="15" s="1"/>
  <c r="S289" i="15" s="1"/>
  <c r="D7" i="20"/>
  <c r="C6" i="20"/>
  <c r="G185" i="8"/>
  <c r="J184" i="8"/>
  <c r="N184" i="8" s="1"/>
  <c r="P184" i="8" s="1"/>
  <c r="M1066" i="20"/>
  <c r="Q1066" i="20" s="1"/>
  <c r="S1066" i="20" s="1"/>
  <c r="U1066" i="20" s="1"/>
  <c r="J1068" i="20"/>
  <c r="J432" i="15"/>
  <c r="J433" i="15" s="1"/>
  <c r="M430" i="15"/>
  <c r="Q430" i="15" s="1"/>
  <c r="S430" i="15" s="1"/>
  <c r="I424" i="20"/>
  <c r="I425" i="20" s="1"/>
  <c r="O422" i="20"/>
  <c r="Q422" i="20" s="1"/>
  <c r="S422" i="20" s="1"/>
  <c r="U422" i="20" s="1"/>
  <c r="M292" i="15"/>
  <c r="Q292" i="15" s="1"/>
  <c r="S292" i="15" s="1"/>
  <c r="J297" i="15"/>
  <c r="E185" i="11"/>
  <c r="H184" i="11"/>
  <c r="L184" i="11" s="1"/>
  <c r="N184" i="11" s="1"/>
  <c r="M592" i="20"/>
  <c r="Q592" i="20" s="1"/>
  <c r="S592" i="20" s="1"/>
  <c r="U592" i="20" s="1"/>
  <c r="J593" i="20"/>
  <c r="J598" i="20" s="1"/>
  <c r="J599" i="20" s="1"/>
  <c r="J600" i="20" s="1"/>
  <c r="J601" i="20" s="1"/>
  <c r="J602" i="20" s="1"/>
  <c r="I1044" i="15"/>
  <c r="O1043" i="15"/>
  <c r="G127" i="8"/>
  <c r="J126" i="8"/>
  <c r="N126" i="8" s="1"/>
  <c r="P126" i="8" s="1"/>
  <c r="I1146" i="15"/>
  <c r="O1144" i="15"/>
  <c r="J913" i="20"/>
  <c r="M908" i="20"/>
  <c r="Q908" i="20" s="1"/>
  <c r="S908" i="20" s="1"/>
  <c r="U908" i="20" s="1"/>
  <c r="J1146" i="15"/>
  <c r="J1147" i="15" s="1"/>
  <c r="M1144" i="15"/>
  <c r="J948" i="15"/>
  <c r="M947" i="15"/>
  <c r="Q947" i="15" s="1"/>
  <c r="S947" i="15" s="1"/>
  <c r="I426" i="15"/>
  <c r="O425" i="15"/>
  <c r="Q425" i="15" s="1"/>
  <c r="S425" i="15" s="1"/>
  <c r="I267" i="15"/>
  <c r="I266" i="15"/>
  <c r="O266" i="15" s="1"/>
  <c r="Q266" i="15" s="1"/>
  <c r="S266" i="15" s="1"/>
  <c r="I265" i="15"/>
  <c r="O265" i="15" s="1"/>
  <c r="Q265" i="15" s="1"/>
  <c r="S265" i="15" s="1"/>
  <c r="I264" i="15"/>
  <c r="O264" i="15" s="1"/>
  <c r="Q264" i="15" s="1"/>
  <c r="S264" i="15" s="1"/>
  <c r="J285" i="20"/>
  <c r="J290" i="20" s="1"/>
  <c r="M280" i="20"/>
  <c r="J904" i="15"/>
  <c r="J909" i="15" s="1"/>
  <c r="M899" i="15"/>
  <c r="I309" i="20"/>
  <c r="I310" i="20" s="1"/>
  <c r="I311" i="20" s="1"/>
  <c r="I312" i="20" s="1"/>
  <c r="O307" i="20"/>
  <c r="M907" i="15"/>
  <c r="Q907" i="15" s="1"/>
  <c r="S907" i="15" s="1"/>
  <c r="J912" i="15"/>
  <c r="J913" i="15"/>
  <c r="M908" i="15"/>
  <c r="Q908" i="15" s="1"/>
  <c r="S908" i="15" s="1"/>
  <c r="J449" i="15"/>
  <c r="M448" i="15"/>
  <c r="Q448" i="15" s="1"/>
  <c r="S448" i="15" s="1"/>
  <c r="J329" i="20"/>
  <c r="M328" i="20"/>
  <c r="Q328" i="20" s="1"/>
  <c r="S328" i="20" s="1"/>
  <c r="U328" i="20" s="1"/>
  <c r="M1011" i="20"/>
  <c r="Q1011" i="20" s="1"/>
  <c r="S1011" i="20" s="1"/>
  <c r="U1011" i="20" s="1"/>
  <c r="J1012" i="20"/>
  <c r="I927" i="15"/>
  <c r="I928" i="15" s="1"/>
  <c r="I929" i="15" s="1"/>
  <c r="I930" i="15" s="1"/>
  <c r="O925" i="15"/>
  <c r="J914" i="20"/>
  <c r="M909" i="20"/>
  <c r="Q909" i="20" s="1"/>
  <c r="S909" i="20" s="1"/>
  <c r="U909" i="20" s="1"/>
  <c r="M395" i="20"/>
  <c r="Q395" i="20" s="1"/>
  <c r="S395" i="20" s="1"/>
  <c r="U395" i="20" s="1"/>
  <c r="J396" i="20"/>
  <c r="C6" i="15"/>
  <c r="D7" i="15"/>
  <c r="M1146" i="20"/>
  <c r="Q1146" i="20" s="1"/>
  <c r="S1146" i="20" s="1"/>
  <c r="U1146" i="20" s="1"/>
  <c r="J1147" i="20"/>
  <c r="J427" i="20"/>
  <c r="J429" i="20" s="1"/>
  <c r="M426" i="20"/>
  <c r="E126" i="11"/>
  <c r="H125" i="11"/>
  <c r="L125" i="11" s="1"/>
  <c r="N125" i="11" s="1"/>
  <c r="M291" i="15"/>
  <c r="Q291" i="15" s="1"/>
  <c r="S291" i="15" s="1"/>
  <c r="J296" i="15"/>
  <c r="J295" i="15"/>
  <c r="M290" i="15"/>
  <c r="Q290" i="15" s="1"/>
  <c r="S290" i="15" s="1"/>
  <c r="M1040" i="15"/>
  <c r="Q1040" i="15" s="1"/>
  <c r="S1040" i="15" s="1"/>
  <c r="J1042" i="15"/>
  <c r="J1043" i="15" s="1"/>
  <c r="M1066" i="15"/>
  <c r="Q1066" i="15" s="1"/>
  <c r="S1066" i="15" s="1"/>
  <c r="J1067" i="15"/>
  <c r="I518" i="15"/>
  <c r="O516" i="15"/>
  <c r="J327" i="15"/>
  <c r="J328" i="15" s="1"/>
  <c r="M325" i="15"/>
  <c r="Q325" i="15" s="1"/>
  <c r="S325" i="15" s="1"/>
  <c r="M519" i="15"/>
  <c r="Q519" i="15" s="1"/>
  <c r="S519" i="15" s="1"/>
  <c r="J520" i="15"/>
  <c r="O257" i="20"/>
  <c r="Q257" i="20" s="1"/>
  <c r="I262" i="20"/>
  <c r="I261" i="20"/>
  <c r="O261" i="20" s="1"/>
  <c r="Q261" i="20" s="1"/>
  <c r="S261" i="20" s="1"/>
  <c r="U261" i="20" s="1"/>
  <c r="I260" i="20"/>
  <c r="O260" i="20" s="1"/>
  <c r="Q260" i="20" s="1"/>
  <c r="S260" i="20" s="1"/>
  <c r="U260" i="20" s="1"/>
  <c r="I259" i="20"/>
  <c r="O259" i="20" s="1"/>
  <c r="Q259" i="20" s="1"/>
  <c r="S259" i="20" s="1"/>
  <c r="U259" i="20" s="1"/>
  <c r="M900" i="15"/>
  <c r="J905" i="15"/>
  <c r="J910" i="15" s="1"/>
  <c r="J911" i="20"/>
  <c r="M906" i="20"/>
  <c r="Q906" i="20" s="1"/>
  <c r="S906" i="20" s="1"/>
  <c r="U906" i="20" s="1"/>
  <c r="J287" i="20"/>
  <c r="J292" i="20" s="1"/>
  <c r="M282" i="20"/>
  <c r="J1220" i="20"/>
  <c r="J1225" i="20" s="1"/>
  <c r="J1226" i="20" s="1"/>
  <c r="J1227" i="20" s="1"/>
  <c r="J1228" i="20" s="1"/>
  <c r="J1229" i="20" s="1"/>
  <c r="M1219" i="20"/>
  <c r="Q1219" i="20" s="1"/>
  <c r="S1219" i="20" s="1"/>
  <c r="U1219" i="20" s="1"/>
  <c r="J902" i="20"/>
  <c r="J907" i="20" s="1"/>
  <c r="M897" i="20"/>
  <c r="I518" i="20"/>
  <c r="O516" i="20"/>
  <c r="Q516" i="20" s="1"/>
  <c r="S516" i="20" s="1"/>
  <c r="U516" i="20" s="1"/>
  <c r="M590" i="15"/>
  <c r="Q590" i="15" s="1"/>
  <c r="S590" i="15" s="1"/>
  <c r="J592" i="15"/>
  <c r="J521" i="20"/>
  <c r="M520" i="20"/>
  <c r="Q520" i="20" s="1"/>
  <c r="S520" i="20" s="1"/>
  <c r="U520" i="20" s="1"/>
  <c r="M291" i="20"/>
  <c r="Q291" i="20" s="1"/>
  <c r="S291" i="20" s="1"/>
  <c r="U291" i="20" s="1"/>
  <c r="J296" i="20"/>
  <c r="I879" i="20"/>
  <c r="I878" i="20"/>
  <c r="O878" i="20" s="1"/>
  <c r="Q878" i="20" s="1"/>
  <c r="S878" i="20" s="1"/>
  <c r="U878" i="20" s="1"/>
  <c r="I877" i="20"/>
  <c r="O877" i="20" s="1"/>
  <c r="Q877" i="20" s="1"/>
  <c r="S877" i="20" s="1"/>
  <c r="U877" i="20" s="1"/>
  <c r="I876" i="20"/>
  <c r="O876" i="20" s="1"/>
  <c r="Q876" i="20" s="1"/>
  <c r="S876" i="20" s="1"/>
  <c r="U876" i="20" s="1"/>
  <c r="Q516" i="15"/>
  <c r="S516" i="15" s="1"/>
  <c r="M449" i="20"/>
  <c r="Q449" i="20" s="1"/>
  <c r="S449" i="20" s="1"/>
  <c r="U449" i="20" s="1"/>
  <c r="J451" i="20"/>
  <c r="J946" i="20"/>
  <c r="M945" i="20"/>
  <c r="Q945" i="20" s="1"/>
  <c r="S945" i="20" s="1"/>
  <c r="U945" i="20" s="1"/>
  <c r="I1044" i="20"/>
  <c r="O1043" i="20"/>
  <c r="I314" i="15"/>
  <c r="I317" i="15"/>
  <c r="I316" i="15"/>
  <c r="I315" i="15"/>
  <c r="Q1144" i="15" l="1"/>
  <c r="S1144" i="15" s="1"/>
  <c r="O1220" i="24"/>
  <c r="S1220" i="24" s="1"/>
  <c r="U1220" i="24" s="1"/>
  <c r="H934" i="24"/>
  <c r="H933" i="24"/>
  <c r="H932" i="24"/>
  <c r="H935" i="24"/>
  <c r="O430" i="24"/>
  <c r="S430" i="24" s="1"/>
  <c r="U430" i="24" s="1"/>
  <c r="Q427" i="24"/>
  <c r="S427" i="24" s="1"/>
  <c r="U427" i="24" s="1"/>
  <c r="H428" i="24"/>
  <c r="O396" i="24"/>
  <c r="S396" i="24" s="1"/>
  <c r="U396" i="24" s="1"/>
  <c r="O291" i="24"/>
  <c r="S291" i="24" s="1"/>
  <c r="U291" i="24" s="1"/>
  <c r="O913" i="24"/>
  <c r="S913" i="24" s="1"/>
  <c r="U913" i="24" s="1"/>
  <c r="O1013" i="24"/>
  <c r="S1013" i="24" s="1"/>
  <c r="U1013" i="24" s="1"/>
  <c r="H884" i="24"/>
  <c r="Q884" i="24" s="1"/>
  <c r="S884" i="24" s="1"/>
  <c r="U884" i="24" s="1"/>
  <c r="H883" i="24"/>
  <c r="Q883" i="24" s="1"/>
  <c r="S883" i="24" s="1"/>
  <c r="U883" i="24" s="1"/>
  <c r="H882" i="24"/>
  <c r="Q882" i="24" s="1"/>
  <c r="S882" i="24" s="1"/>
  <c r="U882" i="24" s="1"/>
  <c r="Q880" i="24"/>
  <c r="S880" i="24" s="1"/>
  <c r="U880" i="24" s="1"/>
  <c r="H885" i="24"/>
  <c r="O450" i="24"/>
  <c r="S450" i="24" s="1"/>
  <c r="U450" i="24" s="1"/>
  <c r="O914" i="24"/>
  <c r="S914" i="24" s="1"/>
  <c r="U914" i="24" s="1"/>
  <c r="O1043" i="24"/>
  <c r="S1043" i="24" s="1"/>
  <c r="U1043" i="24" s="1"/>
  <c r="O293" i="24"/>
  <c r="S293" i="24" s="1"/>
  <c r="U293" i="24" s="1"/>
  <c r="O1148" i="24"/>
  <c r="S1148" i="24" s="1"/>
  <c r="U1148" i="24" s="1"/>
  <c r="O946" i="24"/>
  <c r="S946" i="24" s="1"/>
  <c r="U946" i="24" s="1"/>
  <c r="O912" i="24"/>
  <c r="S912" i="24" s="1"/>
  <c r="U912" i="24" s="1"/>
  <c r="O297" i="24"/>
  <c r="S297" i="24" s="1"/>
  <c r="U297" i="24" s="1"/>
  <c r="O523" i="24"/>
  <c r="S523" i="24" s="1"/>
  <c r="U523" i="24" s="1"/>
  <c r="O915" i="24"/>
  <c r="S915" i="24" s="1"/>
  <c r="U915" i="24" s="1"/>
  <c r="O329" i="24"/>
  <c r="S329" i="24" s="1"/>
  <c r="U329" i="24" s="1"/>
  <c r="O295" i="24"/>
  <c r="S295" i="24" s="1"/>
  <c r="U295" i="24" s="1"/>
  <c r="Q258" i="24"/>
  <c r="S258" i="24" s="1"/>
  <c r="H263" i="24"/>
  <c r="H262" i="24"/>
  <c r="Q262" i="24" s="1"/>
  <c r="S262" i="24" s="1"/>
  <c r="U262" i="24" s="1"/>
  <c r="H261" i="24"/>
  <c r="Q261" i="24" s="1"/>
  <c r="S261" i="24" s="1"/>
  <c r="U261" i="24" s="1"/>
  <c r="H260" i="24"/>
  <c r="Q260" i="24" s="1"/>
  <c r="S260" i="24" s="1"/>
  <c r="U260" i="24" s="1"/>
  <c r="O1067" i="24"/>
  <c r="S1067" i="24" s="1"/>
  <c r="U1067" i="24" s="1"/>
  <c r="C9" i="24"/>
  <c r="A8" i="24"/>
  <c r="J522" i="20"/>
  <c r="M521" i="20"/>
  <c r="Q521" i="20" s="1"/>
  <c r="S521" i="20" s="1"/>
  <c r="U521" i="20" s="1"/>
  <c r="M520" i="15"/>
  <c r="Q520" i="15" s="1"/>
  <c r="S520" i="15" s="1"/>
  <c r="J521" i="15"/>
  <c r="M1043" i="15"/>
  <c r="Q1043" i="15" s="1"/>
  <c r="S1043" i="15" s="1"/>
  <c r="J1044" i="15"/>
  <c r="J301" i="15"/>
  <c r="M296" i="15"/>
  <c r="Q296" i="15" s="1"/>
  <c r="S296" i="15" s="1"/>
  <c r="F502" i="15"/>
  <c r="C7" i="15"/>
  <c r="D8" i="15"/>
  <c r="M329" i="20"/>
  <c r="Q329" i="20" s="1"/>
  <c r="S329" i="20" s="1"/>
  <c r="U329" i="20" s="1"/>
  <c r="J330" i="20"/>
  <c r="J918" i="20"/>
  <c r="M913" i="20"/>
  <c r="Q913" i="20" s="1"/>
  <c r="S913" i="20" s="1"/>
  <c r="U913" i="20" s="1"/>
  <c r="G128" i="8"/>
  <c r="J127" i="8"/>
  <c r="N127" i="8" s="1"/>
  <c r="P127" i="8" s="1"/>
  <c r="D8" i="20"/>
  <c r="C7" i="20"/>
  <c r="I881" i="20"/>
  <c r="O881" i="20" s="1"/>
  <c r="Q881" i="20" s="1"/>
  <c r="S881" i="20" s="1"/>
  <c r="U881" i="20" s="1"/>
  <c r="O879" i="20"/>
  <c r="Q879" i="20" s="1"/>
  <c r="S879" i="20" s="1"/>
  <c r="U879" i="20" s="1"/>
  <c r="I884" i="20"/>
  <c r="I883" i="20"/>
  <c r="O883" i="20" s="1"/>
  <c r="Q883" i="20" s="1"/>
  <c r="S883" i="20" s="1"/>
  <c r="U883" i="20" s="1"/>
  <c r="I882" i="20"/>
  <c r="O882" i="20" s="1"/>
  <c r="Q882" i="20" s="1"/>
  <c r="S882" i="20" s="1"/>
  <c r="U882" i="20" s="1"/>
  <c r="J916" i="20"/>
  <c r="M911" i="20"/>
  <c r="Q911" i="20" s="1"/>
  <c r="S911" i="20" s="1"/>
  <c r="U911" i="20" s="1"/>
  <c r="J947" i="20"/>
  <c r="M946" i="20"/>
  <c r="Q946" i="20" s="1"/>
  <c r="S946" i="20" s="1"/>
  <c r="U946" i="20" s="1"/>
  <c r="M296" i="20"/>
  <c r="Q296" i="20" s="1"/>
  <c r="S296" i="20" s="1"/>
  <c r="U296" i="20" s="1"/>
  <c r="J301" i="20"/>
  <c r="J593" i="15"/>
  <c r="J598" i="15" s="1"/>
  <c r="J599" i="15" s="1"/>
  <c r="J600" i="15" s="1"/>
  <c r="J601" i="15" s="1"/>
  <c r="J602" i="15" s="1"/>
  <c r="M592" i="15"/>
  <c r="Q592" i="15" s="1"/>
  <c r="S592" i="15" s="1"/>
  <c r="M292" i="20"/>
  <c r="Q292" i="20" s="1"/>
  <c r="S292" i="20" s="1"/>
  <c r="U292" i="20" s="1"/>
  <c r="J297" i="20"/>
  <c r="M910" i="15"/>
  <c r="Q910" i="15" s="1"/>
  <c r="S910" i="15" s="1"/>
  <c r="J915" i="15"/>
  <c r="J430" i="20"/>
  <c r="M429" i="20"/>
  <c r="Q429" i="20" s="1"/>
  <c r="S429" i="20" s="1"/>
  <c r="U429" i="20" s="1"/>
  <c r="J919" i="20"/>
  <c r="M914" i="20"/>
  <c r="Q914" i="20" s="1"/>
  <c r="S914" i="20" s="1"/>
  <c r="U914" i="20" s="1"/>
  <c r="M1012" i="20"/>
  <c r="Q1012" i="20" s="1"/>
  <c r="S1012" i="20" s="1"/>
  <c r="U1012" i="20" s="1"/>
  <c r="J1013" i="20"/>
  <c r="J918" i="15"/>
  <c r="M913" i="15"/>
  <c r="Q913" i="15" s="1"/>
  <c r="S913" i="15" s="1"/>
  <c r="M909" i="15"/>
  <c r="Q909" i="15" s="1"/>
  <c r="S909" i="15" s="1"/>
  <c r="J914" i="15"/>
  <c r="M290" i="20"/>
  <c r="Q290" i="20" s="1"/>
  <c r="S290" i="20" s="1"/>
  <c r="U290" i="20" s="1"/>
  <c r="J295" i="20"/>
  <c r="I269" i="15"/>
  <c r="O267" i="15"/>
  <c r="Q267" i="15" s="1"/>
  <c r="S267" i="15" s="1"/>
  <c r="I272" i="15"/>
  <c r="I271" i="15"/>
  <c r="I270" i="15"/>
  <c r="M948" i="15"/>
  <c r="Q948" i="15" s="1"/>
  <c r="S948" i="15" s="1"/>
  <c r="J949" i="15"/>
  <c r="M433" i="15"/>
  <c r="Q433" i="15" s="1"/>
  <c r="S433" i="15" s="1"/>
  <c r="J434" i="15"/>
  <c r="J397" i="15"/>
  <c r="M396" i="15"/>
  <c r="Q396" i="15" s="1"/>
  <c r="S396" i="15" s="1"/>
  <c r="J452" i="20"/>
  <c r="M451" i="20"/>
  <c r="Q451" i="20" s="1"/>
  <c r="S451" i="20" s="1"/>
  <c r="U451" i="20" s="1"/>
  <c r="I264" i="20"/>
  <c r="O264" i="20" s="1"/>
  <c r="Q264" i="20" s="1"/>
  <c r="S264" i="20" s="1"/>
  <c r="U264" i="20" s="1"/>
  <c r="O262" i="20"/>
  <c r="Q262" i="20" s="1"/>
  <c r="S262" i="20" s="1"/>
  <c r="U262" i="20" s="1"/>
  <c r="I267" i="20"/>
  <c r="I266" i="20"/>
  <c r="O266" i="20" s="1"/>
  <c r="Q266" i="20" s="1"/>
  <c r="S266" i="20" s="1"/>
  <c r="U266" i="20" s="1"/>
  <c r="I265" i="20"/>
  <c r="O265" i="20" s="1"/>
  <c r="Q265" i="20" s="1"/>
  <c r="S265" i="20" s="1"/>
  <c r="U265" i="20" s="1"/>
  <c r="M1067" i="15"/>
  <c r="Q1067" i="15" s="1"/>
  <c r="S1067" i="15" s="1"/>
  <c r="J1069" i="15"/>
  <c r="M1147" i="20"/>
  <c r="Q1147" i="20" s="1"/>
  <c r="S1147" i="20" s="1"/>
  <c r="U1147" i="20" s="1"/>
  <c r="J1148" i="20"/>
  <c r="M396" i="20"/>
  <c r="Q396" i="20" s="1"/>
  <c r="S396" i="20" s="1"/>
  <c r="U396" i="20" s="1"/>
  <c r="J397" i="20"/>
  <c r="J451" i="15"/>
  <c r="M449" i="15"/>
  <c r="Q449" i="15" s="1"/>
  <c r="S449" i="15" s="1"/>
  <c r="I316" i="20"/>
  <c r="I315" i="20"/>
  <c r="I314" i="20"/>
  <c r="I317" i="20"/>
  <c r="J1148" i="15"/>
  <c r="M1147" i="15"/>
  <c r="Q1147" i="15" s="1"/>
  <c r="S1147" i="15" s="1"/>
  <c r="I1045" i="15"/>
  <c r="O1044" i="15"/>
  <c r="E186" i="11"/>
  <c r="H185" i="11"/>
  <c r="L185" i="11" s="1"/>
  <c r="N185" i="11" s="1"/>
  <c r="G186" i="8"/>
  <c r="J185" i="8"/>
  <c r="N185" i="8" s="1"/>
  <c r="P185" i="8" s="1"/>
  <c r="J299" i="15"/>
  <c r="M294" i="15"/>
  <c r="Q294" i="15" s="1"/>
  <c r="S294" i="15" s="1"/>
  <c r="J912" i="20"/>
  <c r="M907" i="20"/>
  <c r="Q907" i="20" s="1"/>
  <c r="S907" i="20" s="1"/>
  <c r="U907" i="20" s="1"/>
  <c r="M328" i="15"/>
  <c r="Q328" i="15" s="1"/>
  <c r="S328" i="15" s="1"/>
  <c r="J329" i="15"/>
  <c r="M295" i="15"/>
  <c r="Q295" i="15" s="1"/>
  <c r="S295" i="15" s="1"/>
  <c r="J300" i="15"/>
  <c r="E127" i="11"/>
  <c r="H126" i="11"/>
  <c r="L126" i="11" s="1"/>
  <c r="N126" i="11" s="1"/>
  <c r="I932" i="15"/>
  <c r="I934" i="15"/>
  <c r="I933" i="15"/>
  <c r="I935" i="15"/>
  <c r="J917" i="15"/>
  <c r="M912" i="15"/>
  <c r="Q912" i="15" s="1"/>
  <c r="S912" i="15" s="1"/>
  <c r="I427" i="15"/>
  <c r="O426" i="15"/>
  <c r="Q426" i="15" s="1"/>
  <c r="S426" i="15" s="1"/>
  <c r="J302" i="15"/>
  <c r="M297" i="15"/>
  <c r="Q297" i="15" s="1"/>
  <c r="S297" i="15" s="1"/>
  <c r="O425" i="20"/>
  <c r="Q425" i="20" s="1"/>
  <c r="S425" i="20" s="1"/>
  <c r="U425" i="20" s="1"/>
  <c r="I426" i="20"/>
  <c r="J1069" i="20"/>
  <c r="M1068" i="20"/>
  <c r="Q1068" i="20" s="1"/>
  <c r="S1068" i="20" s="1"/>
  <c r="U1068" i="20" s="1"/>
  <c r="M1014" i="15"/>
  <c r="Q1014" i="15" s="1"/>
  <c r="S1014" i="15" s="1"/>
  <c r="J1015" i="15"/>
  <c r="J1044" i="20"/>
  <c r="J1046" i="20" s="1"/>
  <c r="M1043" i="20"/>
  <c r="Q1043" i="20" s="1"/>
  <c r="S1043" i="20" s="1"/>
  <c r="U1043" i="20" s="1"/>
  <c r="I885" i="15"/>
  <c r="I883" i="15"/>
  <c r="O883" i="15" s="1"/>
  <c r="Q883" i="15" s="1"/>
  <c r="S883" i="15" s="1"/>
  <c r="I884" i="15"/>
  <c r="O884" i="15" s="1"/>
  <c r="Q884" i="15" s="1"/>
  <c r="S884" i="15" s="1"/>
  <c r="I882" i="15"/>
  <c r="O882" i="15" s="1"/>
  <c r="Q882" i="15" s="1"/>
  <c r="S882" i="15" s="1"/>
  <c r="J299" i="20"/>
  <c r="M294" i="20"/>
  <c r="Q294" i="20" s="1"/>
  <c r="S294" i="20" s="1"/>
  <c r="U294" i="20" s="1"/>
  <c r="A9" i="24" l="1"/>
  <c r="C10" i="24"/>
  <c r="O947" i="24"/>
  <c r="S947" i="24" s="1"/>
  <c r="U947" i="24" s="1"/>
  <c r="O1014" i="24"/>
  <c r="S1014" i="24" s="1"/>
  <c r="U1014" i="24" s="1"/>
  <c r="O330" i="24"/>
  <c r="S330" i="24" s="1"/>
  <c r="U330" i="24" s="1"/>
  <c r="O528" i="24"/>
  <c r="S528" i="24" s="1"/>
  <c r="U528" i="24" s="1"/>
  <c r="O1149" i="24"/>
  <c r="S1149" i="24" s="1"/>
  <c r="U1149" i="24" s="1"/>
  <c r="O1044" i="24"/>
  <c r="S1044" i="24" s="1"/>
  <c r="U1044" i="24" s="1"/>
  <c r="O452" i="24"/>
  <c r="S452" i="24" s="1"/>
  <c r="U452" i="24" s="1"/>
  <c r="O296" i="24"/>
  <c r="S296" i="24" s="1"/>
  <c r="U296" i="24" s="1"/>
  <c r="O298" i="24"/>
  <c r="S298" i="24" s="1"/>
  <c r="U298" i="24" s="1"/>
  <c r="O917" i="24"/>
  <c r="S917" i="24" s="1"/>
  <c r="U917" i="24" s="1"/>
  <c r="O918" i="24"/>
  <c r="S918" i="24" s="1"/>
  <c r="U918" i="24" s="1"/>
  <c r="O397" i="24"/>
  <c r="S397" i="24" s="1"/>
  <c r="U397" i="24" s="1"/>
  <c r="O431" i="24"/>
  <c r="S431" i="24" s="1"/>
  <c r="U431" i="24" s="1"/>
  <c r="O1069" i="24"/>
  <c r="S1069" i="24" s="1"/>
  <c r="U1069" i="24" s="1"/>
  <c r="H266" i="24"/>
  <c r="Q266" i="24" s="1"/>
  <c r="S266" i="24" s="1"/>
  <c r="U266" i="24" s="1"/>
  <c r="H265" i="24"/>
  <c r="Q265" i="24" s="1"/>
  <c r="S265" i="24" s="1"/>
  <c r="U265" i="24" s="1"/>
  <c r="Q263" i="24"/>
  <c r="S263" i="24" s="1"/>
  <c r="U263" i="24" s="1"/>
  <c r="H268" i="24"/>
  <c r="H267" i="24"/>
  <c r="Q267" i="24" s="1"/>
  <c r="S267" i="24" s="1"/>
  <c r="U267" i="24" s="1"/>
  <c r="O300" i="24"/>
  <c r="S300" i="24" s="1"/>
  <c r="U300" i="24" s="1"/>
  <c r="O920" i="24"/>
  <c r="S920" i="24" s="1"/>
  <c r="U920" i="24" s="1"/>
  <c r="O302" i="24"/>
  <c r="S302" i="24" s="1"/>
  <c r="U302" i="24" s="1"/>
  <c r="O919" i="24"/>
  <c r="S919" i="24" s="1"/>
  <c r="U919" i="24" s="1"/>
  <c r="H888" i="24"/>
  <c r="H887" i="24"/>
  <c r="Q885" i="24"/>
  <c r="S885" i="24" s="1"/>
  <c r="U885" i="24" s="1"/>
  <c r="H890" i="24"/>
  <c r="H889" i="24"/>
  <c r="M300" i="15"/>
  <c r="Q300" i="15" s="1"/>
  <c r="S300" i="15" s="1"/>
  <c r="J305" i="15"/>
  <c r="M1148" i="20"/>
  <c r="Q1148" i="20" s="1"/>
  <c r="S1148" i="20" s="1"/>
  <c r="U1148" i="20" s="1"/>
  <c r="J1149" i="20"/>
  <c r="J453" i="20"/>
  <c r="M452" i="20"/>
  <c r="Q452" i="20" s="1"/>
  <c r="S452" i="20" s="1"/>
  <c r="U452" i="20" s="1"/>
  <c r="J300" i="20"/>
  <c r="M295" i="20"/>
  <c r="Q295" i="20" s="1"/>
  <c r="S295" i="20" s="1"/>
  <c r="U295" i="20" s="1"/>
  <c r="J920" i="15"/>
  <c r="M915" i="15"/>
  <c r="Q915" i="15" s="1"/>
  <c r="S915" i="15" s="1"/>
  <c r="C8" i="15"/>
  <c r="D9" i="15"/>
  <c r="J522" i="15"/>
  <c r="M521" i="15"/>
  <c r="Q521" i="15" s="1"/>
  <c r="S521" i="15" s="1"/>
  <c r="M1046" i="20"/>
  <c r="Q1046" i="20" s="1"/>
  <c r="S1046" i="20" s="1"/>
  <c r="U1046" i="20" s="1"/>
  <c r="J1047" i="20"/>
  <c r="J1070" i="20"/>
  <c r="M1069" i="20"/>
  <c r="Q1069" i="20" s="1"/>
  <c r="S1069" i="20" s="1"/>
  <c r="U1069" i="20" s="1"/>
  <c r="M302" i="15"/>
  <c r="Q302" i="15" s="1"/>
  <c r="S302" i="15" s="1"/>
  <c r="J307" i="15"/>
  <c r="J922" i="15"/>
  <c r="M917" i="15"/>
  <c r="Q917" i="15" s="1"/>
  <c r="S917" i="15" s="1"/>
  <c r="J917" i="20"/>
  <c r="M912" i="20"/>
  <c r="Q912" i="20" s="1"/>
  <c r="S912" i="20" s="1"/>
  <c r="U912" i="20" s="1"/>
  <c r="G187" i="8"/>
  <c r="J186" i="8"/>
  <c r="N186" i="8" s="1"/>
  <c r="P186" i="8" s="1"/>
  <c r="M451" i="15"/>
  <c r="Q451" i="15" s="1"/>
  <c r="S451" i="15" s="1"/>
  <c r="J452" i="15"/>
  <c r="J951" i="15"/>
  <c r="M951" i="15" s="1"/>
  <c r="Q951" i="15" s="1"/>
  <c r="S951" i="15" s="1"/>
  <c r="J952" i="15"/>
  <c r="M949" i="15"/>
  <c r="Q949" i="15" s="1"/>
  <c r="S949" i="15" s="1"/>
  <c r="J954" i="15"/>
  <c r="I277" i="15"/>
  <c r="I276" i="15"/>
  <c r="O276" i="15" s="1"/>
  <c r="Q276" i="15" s="1"/>
  <c r="S276" i="15" s="1"/>
  <c r="I275" i="15"/>
  <c r="O275" i="15" s="1"/>
  <c r="Q275" i="15" s="1"/>
  <c r="S275" i="15" s="1"/>
  <c r="I274" i="15"/>
  <c r="O274" i="15" s="1"/>
  <c r="Q274" i="15" s="1"/>
  <c r="S274" i="15" s="1"/>
  <c r="J923" i="15"/>
  <c r="M918" i="15"/>
  <c r="Q918" i="15" s="1"/>
  <c r="S918" i="15" s="1"/>
  <c r="J924" i="20"/>
  <c r="M919" i="20"/>
  <c r="Q919" i="20" s="1"/>
  <c r="S919" i="20" s="1"/>
  <c r="U919" i="20" s="1"/>
  <c r="J948" i="20"/>
  <c r="M947" i="20"/>
  <c r="Q947" i="20" s="1"/>
  <c r="S947" i="20" s="1"/>
  <c r="U947" i="20" s="1"/>
  <c r="G129" i="8"/>
  <c r="J128" i="8"/>
  <c r="N128" i="8" s="1"/>
  <c r="P128" i="8" s="1"/>
  <c r="M301" i="15"/>
  <c r="Q301" i="15" s="1"/>
  <c r="S301" i="15" s="1"/>
  <c r="J306" i="15"/>
  <c r="M299" i="20"/>
  <c r="Q299" i="20" s="1"/>
  <c r="S299" i="20" s="1"/>
  <c r="U299" i="20" s="1"/>
  <c r="J304" i="20"/>
  <c r="I890" i="15"/>
  <c r="I889" i="15"/>
  <c r="I888" i="15"/>
  <c r="I887" i="15"/>
  <c r="O885" i="15"/>
  <c r="Q885" i="15" s="1"/>
  <c r="S885" i="15" s="1"/>
  <c r="J1016" i="15"/>
  <c r="M1015" i="15"/>
  <c r="Q1015" i="15" s="1"/>
  <c r="S1015" i="15" s="1"/>
  <c r="I427" i="20"/>
  <c r="O426" i="20"/>
  <c r="Q426" i="20" s="1"/>
  <c r="S426" i="20" s="1"/>
  <c r="U426" i="20" s="1"/>
  <c r="M329" i="15"/>
  <c r="Q329" i="15" s="1"/>
  <c r="S329" i="15" s="1"/>
  <c r="J330" i="15"/>
  <c r="M397" i="20"/>
  <c r="Q397" i="20" s="1"/>
  <c r="S397" i="20" s="1"/>
  <c r="U397" i="20" s="1"/>
  <c r="J398" i="20"/>
  <c r="M1069" i="15"/>
  <c r="Q1069" i="15" s="1"/>
  <c r="S1069" i="15" s="1"/>
  <c r="J1070" i="15"/>
  <c r="I272" i="20"/>
  <c r="I271" i="20"/>
  <c r="I270" i="20"/>
  <c r="I269" i="20"/>
  <c r="O267" i="20"/>
  <c r="Q267" i="20" s="1"/>
  <c r="S267" i="20" s="1"/>
  <c r="U267" i="20" s="1"/>
  <c r="M397" i="15"/>
  <c r="Q397" i="15" s="1"/>
  <c r="S397" i="15" s="1"/>
  <c r="J398" i="15"/>
  <c r="J919" i="15"/>
  <c r="M914" i="15"/>
  <c r="Q914" i="15" s="1"/>
  <c r="S914" i="15" s="1"/>
  <c r="M1013" i="20"/>
  <c r="Q1013" i="20" s="1"/>
  <c r="S1013" i="20" s="1"/>
  <c r="U1013" i="20" s="1"/>
  <c r="J1014" i="20"/>
  <c r="J302" i="20"/>
  <c r="M297" i="20"/>
  <c r="Q297" i="20" s="1"/>
  <c r="S297" i="20" s="1"/>
  <c r="U297" i="20" s="1"/>
  <c r="J306" i="20"/>
  <c r="M301" i="20"/>
  <c r="Q301" i="20" s="1"/>
  <c r="S301" i="20" s="1"/>
  <c r="U301" i="20" s="1"/>
  <c r="M330" i="20"/>
  <c r="Q330" i="20" s="1"/>
  <c r="S330" i="20" s="1"/>
  <c r="U330" i="20" s="1"/>
  <c r="J331" i="20"/>
  <c r="M1044" i="15"/>
  <c r="Q1044" i="15" s="1"/>
  <c r="S1044" i="15" s="1"/>
  <c r="J1045" i="15"/>
  <c r="J1047" i="15" s="1"/>
  <c r="E128" i="11"/>
  <c r="H127" i="11"/>
  <c r="L127" i="11" s="1"/>
  <c r="N127" i="11" s="1"/>
  <c r="M299" i="15"/>
  <c r="Q299" i="15" s="1"/>
  <c r="S299" i="15" s="1"/>
  <c r="J304" i="15"/>
  <c r="E187" i="11"/>
  <c r="H186" i="11"/>
  <c r="L186" i="11" s="1"/>
  <c r="N186" i="11" s="1"/>
  <c r="M1148" i="15"/>
  <c r="Q1148" i="15" s="1"/>
  <c r="S1148" i="15" s="1"/>
  <c r="J1149" i="15"/>
  <c r="M434" i="15"/>
  <c r="Q434" i="15" s="1"/>
  <c r="S434" i="15" s="1"/>
  <c r="J435" i="15"/>
  <c r="J432" i="20"/>
  <c r="J433" i="20" s="1"/>
  <c r="M430" i="20"/>
  <c r="Q430" i="20" s="1"/>
  <c r="S430" i="20" s="1"/>
  <c r="U430" i="20" s="1"/>
  <c r="J921" i="20"/>
  <c r="M916" i="20"/>
  <c r="Q916" i="20" s="1"/>
  <c r="S916" i="20" s="1"/>
  <c r="U916" i="20" s="1"/>
  <c r="I889" i="20"/>
  <c r="I888" i="20"/>
  <c r="I887" i="20"/>
  <c r="I886" i="20"/>
  <c r="O884" i="20"/>
  <c r="Q884" i="20" s="1"/>
  <c r="S884" i="20" s="1"/>
  <c r="U884" i="20" s="1"/>
  <c r="D9" i="20"/>
  <c r="C8" i="20"/>
  <c r="J923" i="20"/>
  <c r="M918" i="20"/>
  <c r="Q918" i="20" s="1"/>
  <c r="S918" i="20" s="1"/>
  <c r="U918" i="20" s="1"/>
  <c r="J523" i="20"/>
  <c r="J525" i="20" s="1"/>
  <c r="J527" i="20" s="1"/>
  <c r="M522" i="20"/>
  <c r="Q522" i="20" s="1"/>
  <c r="S522" i="20" s="1"/>
  <c r="U522" i="20" s="1"/>
  <c r="O307" i="24" l="1"/>
  <c r="S307" i="24" s="1"/>
  <c r="U307" i="24" s="1"/>
  <c r="O305" i="24"/>
  <c r="S305" i="24" s="1"/>
  <c r="U305" i="24" s="1"/>
  <c r="O303" i="24"/>
  <c r="S303" i="24" s="1"/>
  <c r="U303" i="24" s="1"/>
  <c r="H894" i="24"/>
  <c r="Q894" i="24" s="1"/>
  <c r="S894" i="24" s="1"/>
  <c r="U894" i="24" s="1"/>
  <c r="H893" i="24"/>
  <c r="Q893" i="24" s="1"/>
  <c r="S893" i="24" s="1"/>
  <c r="U893" i="24" s="1"/>
  <c r="H892" i="24"/>
  <c r="Q892" i="24" s="1"/>
  <c r="S892" i="24" s="1"/>
  <c r="U892" i="24" s="1"/>
  <c r="H895" i="24"/>
  <c r="O925" i="24"/>
  <c r="S925" i="24" s="1"/>
  <c r="U925" i="24" s="1"/>
  <c r="O434" i="24"/>
  <c r="S434" i="24" s="1"/>
  <c r="U434" i="24" s="1"/>
  <c r="O923" i="24"/>
  <c r="S923" i="24" s="1"/>
  <c r="U923" i="24" s="1"/>
  <c r="O453" i="24"/>
  <c r="S453" i="24" s="1"/>
  <c r="U453" i="24" s="1"/>
  <c r="O331" i="24"/>
  <c r="S331" i="24" s="1"/>
  <c r="U331" i="24" s="1"/>
  <c r="O948" i="24"/>
  <c r="S948" i="24" s="1"/>
  <c r="U948" i="24" s="1"/>
  <c r="O1150" i="24"/>
  <c r="S1150" i="24" s="1"/>
  <c r="U1150" i="24" s="1"/>
  <c r="O924" i="24"/>
  <c r="S924" i="24" s="1"/>
  <c r="U924" i="24" s="1"/>
  <c r="H273" i="24"/>
  <c r="H272" i="24"/>
  <c r="H271" i="24"/>
  <c r="H270" i="24"/>
  <c r="Q268" i="24"/>
  <c r="S268" i="24" s="1"/>
  <c r="U268" i="24" s="1"/>
  <c r="O398" i="24"/>
  <c r="S398" i="24" s="1"/>
  <c r="U398" i="24" s="1"/>
  <c r="O529" i="24"/>
  <c r="S529" i="24" s="1"/>
  <c r="U529" i="24" s="1"/>
  <c r="O1015" i="24"/>
  <c r="S1015" i="24" s="1"/>
  <c r="U1015" i="24" s="1"/>
  <c r="C11" i="24"/>
  <c r="E27" i="24"/>
  <c r="A10" i="24"/>
  <c r="O1070" i="24"/>
  <c r="S1070" i="24" s="1"/>
  <c r="U1070" i="24" s="1"/>
  <c r="O922" i="24"/>
  <c r="S922" i="24" s="1"/>
  <c r="U922" i="24" s="1"/>
  <c r="O301" i="24"/>
  <c r="S301" i="24" s="1"/>
  <c r="U301" i="24" s="1"/>
  <c r="O1047" i="24"/>
  <c r="S1047" i="24" s="1"/>
  <c r="U1047" i="24" s="1"/>
  <c r="M527" i="20"/>
  <c r="Q527" i="20" s="1"/>
  <c r="S527" i="20" s="1"/>
  <c r="U527" i="20" s="1"/>
  <c r="J528" i="20"/>
  <c r="F26" i="20"/>
  <c r="C9" i="20"/>
  <c r="D10" i="20"/>
  <c r="M923" i="20"/>
  <c r="Q923" i="20" s="1"/>
  <c r="S923" i="20" s="1"/>
  <c r="U923" i="20" s="1"/>
  <c r="J928" i="20"/>
  <c r="J933" i="20" s="1"/>
  <c r="M435" i="15"/>
  <c r="Q435" i="15" s="1"/>
  <c r="S435" i="15" s="1"/>
  <c r="J436" i="15"/>
  <c r="J334" i="20"/>
  <c r="J333" i="20"/>
  <c r="M333" i="20" s="1"/>
  <c r="Q333" i="20" s="1"/>
  <c r="S333" i="20" s="1"/>
  <c r="U333" i="20" s="1"/>
  <c r="M331" i="20"/>
  <c r="Q331" i="20" s="1"/>
  <c r="S331" i="20" s="1"/>
  <c r="U331" i="20" s="1"/>
  <c r="J336" i="20"/>
  <c r="I277" i="20"/>
  <c r="I274" i="20"/>
  <c r="O274" i="20" s="1"/>
  <c r="Q274" i="20" s="1"/>
  <c r="S274" i="20" s="1"/>
  <c r="U274" i="20" s="1"/>
  <c r="I276" i="20"/>
  <c r="O276" i="20" s="1"/>
  <c r="Q276" i="20" s="1"/>
  <c r="S276" i="20" s="1"/>
  <c r="U276" i="20" s="1"/>
  <c r="I275" i="20"/>
  <c r="O275" i="20" s="1"/>
  <c r="Q275" i="20" s="1"/>
  <c r="S275" i="20" s="1"/>
  <c r="U275" i="20" s="1"/>
  <c r="J309" i="20"/>
  <c r="J314" i="20" s="1"/>
  <c r="M304" i="20"/>
  <c r="Q304" i="20" s="1"/>
  <c r="S304" i="20" s="1"/>
  <c r="U304" i="20" s="1"/>
  <c r="M452" i="15"/>
  <c r="Q452" i="15" s="1"/>
  <c r="S452" i="15" s="1"/>
  <c r="J453" i="15"/>
  <c r="J312" i="15"/>
  <c r="J317" i="15" s="1"/>
  <c r="M307" i="15"/>
  <c r="Q307" i="15" s="1"/>
  <c r="S307" i="15" s="1"/>
  <c r="J1049" i="20"/>
  <c r="J1050" i="20" s="1"/>
  <c r="M1047" i="20"/>
  <c r="Q1047" i="20" s="1"/>
  <c r="S1047" i="20" s="1"/>
  <c r="U1047" i="20" s="1"/>
  <c r="F26" i="15"/>
  <c r="C9" i="15"/>
  <c r="D10" i="15"/>
  <c r="M1149" i="20"/>
  <c r="Q1149" i="20" s="1"/>
  <c r="S1149" i="20" s="1"/>
  <c r="U1149" i="20" s="1"/>
  <c r="J1150" i="20"/>
  <c r="J1152" i="20" s="1"/>
  <c r="J1154" i="20" s="1"/>
  <c r="J926" i="20"/>
  <c r="J931" i="20" s="1"/>
  <c r="M921" i="20"/>
  <c r="Q921" i="20" s="1"/>
  <c r="S921" i="20" s="1"/>
  <c r="U921" i="20" s="1"/>
  <c r="E188" i="11"/>
  <c r="H187" i="11"/>
  <c r="L187" i="11" s="1"/>
  <c r="N187" i="11" s="1"/>
  <c r="E129" i="11"/>
  <c r="H128" i="11"/>
  <c r="L128" i="11" s="1"/>
  <c r="N128" i="11" s="1"/>
  <c r="J307" i="20"/>
  <c r="M302" i="20"/>
  <c r="Q302" i="20" s="1"/>
  <c r="S302" i="20" s="1"/>
  <c r="U302" i="20" s="1"/>
  <c r="J924" i="15"/>
  <c r="M919" i="15"/>
  <c r="Q919" i="15" s="1"/>
  <c r="S919" i="15" s="1"/>
  <c r="M1070" i="15"/>
  <c r="Q1070" i="15" s="1"/>
  <c r="S1070" i="15" s="1"/>
  <c r="J1071" i="15"/>
  <c r="M330" i="15"/>
  <c r="Q330" i="15" s="1"/>
  <c r="S330" i="15" s="1"/>
  <c r="J331" i="15"/>
  <c r="M924" i="20"/>
  <c r="Q924" i="20" s="1"/>
  <c r="S924" i="20" s="1"/>
  <c r="U924" i="20" s="1"/>
  <c r="J929" i="20"/>
  <c r="J934" i="20" s="1"/>
  <c r="M917" i="20"/>
  <c r="Q917" i="20" s="1"/>
  <c r="S917" i="20" s="1"/>
  <c r="U917" i="20" s="1"/>
  <c r="J922" i="20"/>
  <c r="J305" i="20"/>
  <c r="M300" i="20"/>
  <c r="Q300" i="20" s="1"/>
  <c r="S300" i="20" s="1"/>
  <c r="U300" i="20" s="1"/>
  <c r="M1149" i="15"/>
  <c r="Q1149" i="15" s="1"/>
  <c r="S1149" i="15" s="1"/>
  <c r="J1150" i="15"/>
  <c r="M304" i="15"/>
  <c r="Q304" i="15" s="1"/>
  <c r="S304" i="15" s="1"/>
  <c r="J309" i="15"/>
  <c r="J314" i="15" s="1"/>
  <c r="M1047" i="15"/>
  <c r="Q1047" i="15" s="1"/>
  <c r="S1047" i="15" s="1"/>
  <c r="J1048" i="15"/>
  <c r="M1014" i="20"/>
  <c r="Q1014" i="20" s="1"/>
  <c r="S1014" i="20" s="1"/>
  <c r="U1014" i="20" s="1"/>
  <c r="J1015" i="20"/>
  <c r="J399" i="15"/>
  <c r="M398" i="15"/>
  <c r="Q398" i="15" s="1"/>
  <c r="S398" i="15" s="1"/>
  <c r="M1016" i="15"/>
  <c r="Q1016" i="15" s="1"/>
  <c r="S1016" i="15" s="1"/>
  <c r="J1017" i="15"/>
  <c r="J311" i="15"/>
  <c r="J316" i="15" s="1"/>
  <c r="M306" i="15"/>
  <c r="Q306" i="15" s="1"/>
  <c r="S306" i="15" s="1"/>
  <c r="J955" i="15"/>
  <c r="M952" i="15"/>
  <c r="Q952" i="15" s="1"/>
  <c r="S952" i="15" s="1"/>
  <c r="J310" i="15"/>
  <c r="J315" i="15" s="1"/>
  <c r="M305" i="15"/>
  <c r="Q305" i="15" s="1"/>
  <c r="S305" i="15" s="1"/>
  <c r="I891" i="20"/>
  <c r="O891" i="20" s="1"/>
  <c r="Q891" i="20" s="1"/>
  <c r="S891" i="20" s="1"/>
  <c r="U891" i="20" s="1"/>
  <c r="I894" i="20"/>
  <c r="I893" i="20"/>
  <c r="O893" i="20" s="1"/>
  <c r="Q893" i="20" s="1"/>
  <c r="S893" i="20" s="1"/>
  <c r="U893" i="20" s="1"/>
  <c r="I892" i="20"/>
  <c r="O892" i="20" s="1"/>
  <c r="Q892" i="20" s="1"/>
  <c r="S892" i="20" s="1"/>
  <c r="U892" i="20" s="1"/>
  <c r="J434" i="20"/>
  <c r="M433" i="20"/>
  <c r="Q433" i="20" s="1"/>
  <c r="S433" i="20" s="1"/>
  <c r="U433" i="20" s="1"/>
  <c r="M306" i="20"/>
  <c r="Q306" i="20" s="1"/>
  <c r="S306" i="20" s="1"/>
  <c r="U306" i="20" s="1"/>
  <c r="J311" i="20"/>
  <c r="J316" i="20" s="1"/>
  <c r="M398" i="20"/>
  <c r="Q398" i="20" s="1"/>
  <c r="S398" i="20" s="1"/>
  <c r="U398" i="20" s="1"/>
  <c r="J399" i="20"/>
  <c r="I895" i="15"/>
  <c r="I893" i="15"/>
  <c r="O893" i="15" s="1"/>
  <c r="Q893" i="15" s="1"/>
  <c r="S893" i="15" s="1"/>
  <c r="I894" i="15"/>
  <c r="O894" i="15" s="1"/>
  <c r="Q894" i="15" s="1"/>
  <c r="S894" i="15" s="1"/>
  <c r="I892" i="15"/>
  <c r="O892" i="15" s="1"/>
  <c r="Q892" i="15" s="1"/>
  <c r="S892" i="15" s="1"/>
  <c r="J953" i="20"/>
  <c r="J951" i="20"/>
  <c r="J950" i="20"/>
  <c r="M950" i="20" s="1"/>
  <c r="Q950" i="20" s="1"/>
  <c r="S950" i="20" s="1"/>
  <c r="U950" i="20" s="1"/>
  <c r="M948" i="20"/>
  <c r="Q948" i="20" s="1"/>
  <c r="S948" i="20" s="1"/>
  <c r="U948" i="20" s="1"/>
  <c r="J928" i="15"/>
  <c r="J933" i="15" s="1"/>
  <c r="M923" i="15"/>
  <c r="Q923" i="15" s="1"/>
  <c r="S923" i="15" s="1"/>
  <c r="I282" i="15"/>
  <c r="I281" i="15"/>
  <c r="O281" i="15" s="1"/>
  <c r="Q281" i="15" s="1"/>
  <c r="S281" i="15" s="1"/>
  <c r="I280" i="15"/>
  <c r="O280" i="15" s="1"/>
  <c r="Q280" i="15" s="1"/>
  <c r="S280" i="15" s="1"/>
  <c r="I279" i="15"/>
  <c r="O279" i="15" s="1"/>
  <c r="Q279" i="15" s="1"/>
  <c r="S279" i="15" s="1"/>
  <c r="O277" i="15"/>
  <c r="Q277" i="15" s="1"/>
  <c r="S277" i="15" s="1"/>
  <c r="G188" i="8"/>
  <c r="J187" i="8"/>
  <c r="N187" i="8" s="1"/>
  <c r="P187" i="8" s="1"/>
  <c r="M922" i="15"/>
  <c r="Q922" i="15" s="1"/>
  <c r="S922" i="15" s="1"/>
  <c r="J927" i="15"/>
  <c r="J932" i="15" s="1"/>
  <c r="M1070" i="20"/>
  <c r="Q1070" i="20" s="1"/>
  <c r="S1070" i="20" s="1"/>
  <c r="U1070" i="20" s="1"/>
  <c r="J1071" i="20"/>
  <c r="J523" i="15"/>
  <c r="J525" i="15" s="1"/>
  <c r="J527" i="15" s="1"/>
  <c r="M522" i="15"/>
  <c r="Q522" i="15" s="1"/>
  <c r="S522" i="15" s="1"/>
  <c r="J925" i="15"/>
  <c r="M920" i="15"/>
  <c r="Q920" i="15" s="1"/>
  <c r="S920" i="15" s="1"/>
  <c r="M453" i="20"/>
  <c r="Q453" i="20" s="1"/>
  <c r="S453" i="20" s="1"/>
  <c r="U453" i="20" s="1"/>
  <c r="J454" i="20"/>
  <c r="O530" i="24" l="1"/>
  <c r="S530" i="24" s="1"/>
  <c r="U530" i="24" s="1"/>
  <c r="H275" i="24"/>
  <c r="Q275" i="24" s="1"/>
  <c r="S275" i="24" s="1"/>
  <c r="U275" i="24" s="1"/>
  <c r="H278" i="24"/>
  <c r="H277" i="24"/>
  <c r="Q277" i="24" s="1"/>
  <c r="S277" i="24" s="1"/>
  <c r="U277" i="24" s="1"/>
  <c r="H276" i="24"/>
  <c r="Q276" i="24" s="1"/>
  <c r="S276" i="24" s="1"/>
  <c r="U276" i="24" s="1"/>
  <c r="O334" i="24"/>
  <c r="S334" i="24" s="1"/>
  <c r="U334" i="24" s="1"/>
  <c r="O332" i="24"/>
  <c r="S332" i="24" s="1"/>
  <c r="U332" i="24" s="1"/>
  <c r="O1048" i="24"/>
  <c r="S1048" i="24" s="1"/>
  <c r="U1048" i="24" s="1"/>
  <c r="O435" i="24"/>
  <c r="S435" i="24" s="1"/>
  <c r="U435" i="24" s="1"/>
  <c r="H900" i="24"/>
  <c r="Q895" i="24"/>
  <c r="S895" i="24" s="1"/>
  <c r="U895" i="24" s="1"/>
  <c r="H899" i="24"/>
  <c r="Q899" i="24" s="1"/>
  <c r="S899" i="24" s="1"/>
  <c r="U899" i="24" s="1"/>
  <c r="H898" i="24"/>
  <c r="Q898" i="24" s="1"/>
  <c r="S898" i="24" s="1"/>
  <c r="U898" i="24" s="1"/>
  <c r="H897" i="24"/>
  <c r="Q897" i="24" s="1"/>
  <c r="S897" i="24" s="1"/>
  <c r="U897" i="24" s="1"/>
  <c r="O1155" i="24"/>
  <c r="S1155" i="24" s="1"/>
  <c r="U1155" i="24" s="1"/>
  <c r="O306" i="24"/>
  <c r="S306" i="24" s="1"/>
  <c r="U306" i="24" s="1"/>
  <c r="E44" i="24"/>
  <c r="A11" i="24"/>
  <c r="C12" i="24"/>
  <c r="E54" i="24"/>
  <c r="O1071" i="24"/>
  <c r="S1071" i="24" s="1"/>
  <c r="U1071" i="24" s="1"/>
  <c r="O1016" i="24"/>
  <c r="S1016" i="24" s="1"/>
  <c r="U1016" i="24" s="1"/>
  <c r="O399" i="24"/>
  <c r="S399" i="24" s="1"/>
  <c r="U399" i="24" s="1"/>
  <c r="O951" i="24"/>
  <c r="S951" i="24" s="1"/>
  <c r="U951" i="24" s="1"/>
  <c r="O949" i="24"/>
  <c r="S949" i="24" s="1"/>
  <c r="U949" i="24" s="1"/>
  <c r="O454" i="24"/>
  <c r="S454" i="24" s="1"/>
  <c r="U454" i="24" s="1"/>
  <c r="O308" i="24"/>
  <c r="S308" i="24" s="1"/>
  <c r="U308" i="24" s="1"/>
  <c r="I287" i="15"/>
  <c r="O287" i="15" s="1"/>
  <c r="Q287" i="15" s="1"/>
  <c r="S287" i="15" s="1"/>
  <c r="I284" i="15"/>
  <c r="O284" i="15" s="1"/>
  <c r="Q284" i="15" s="1"/>
  <c r="S284" i="15" s="1"/>
  <c r="O282" i="15"/>
  <c r="Q282" i="15" s="1"/>
  <c r="S282" i="15" s="1"/>
  <c r="I285" i="15"/>
  <c r="O285" i="15" s="1"/>
  <c r="Q285" i="15" s="1"/>
  <c r="S285" i="15" s="1"/>
  <c r="I286" i="15"/>
  <c r="O286" i="15" s="1"/>
  <c r="Q286" i="15" s="1"/>
  <c r="S286" i="15" s="1"/>
  <c r="M527" i="15"/>
  <c r="Q527" i="15" s="1"/>
  <c r="S527" i="15" s="1"/>
  <c r="J528" i="15"/>
  <c r="J954" i="20"/>
  <c r="M951" i="20"/>
  <c r="Q951" i="20" s="1"/>
  <c r="S951" i="20" s="1"/>
  <c r="U951" i="20" s="1"/>
  <c r="J1050" i="15"/>
  <c r="J1051" i="15" s="1"/>
  <c r="M1048" i="15"/>
  <c r="Q1048" i="15" s="1"/>
  <c r="S1048" i="15" s="1"/>
  <c r="J1151" i="15"/>
  <c r="J1153" i="15" s="1"/>
  <c r="J1155" i="15" s="1"/>
  <c r="M1150" i="15"/>
  <c r="Q1150" i="15" s="1"/>
  <c r="S1150" i="15" s="1"/>
  <c r="M922" i="20"/>
  <c r="Q922" i="20" s="1"/>
  <c r="S922" i="20" s="1"/>
  <c r="U922" i="20" s="1"/>
  <c r="J927" i="20"/>
  <c r="J932" i="20" s="1"/>
  <c r="J333" i="15"/>
  <c r="M333" i="15" s="1"/>
  <c r="Q333" i="15" s="1"/>
  <c r="S333" i="15" s="1"/>
  <c r="J334" i="15"/>
  <c r="M331" i="15"/>
  <c r="Q331" i="15" s="1"/>
  <c r="S331" i="15" s="1"/>
  <c r="J336" i="15"/>
  <c r="F53" i="15"/>
  <c r="F43" i="15"/>
  <c r="C10" i="15"/>
  <c r="D11" i="15"/>
  <c r="M1050" i="20"/>
  <c r="Q1050" i="20" s="1"/>
  <c r="S1050" i="20" s="1"/>
  <c r="U1050" i="20" s="1"/>
  <c r="J1051" i="20"/>
  <c r="J456" i="20"/>
  <c r="J457" i="20" s="1"/>
  <c r="M454" i="20"/>
  <c r="Q454" i="20" s="1"/>
  <c r="S454" i="20" s="1"/>
  <c r="U454" i="20" s="1"/>
  <c r="J1073" i="20"/>
  <c r="J1074" i="20" s="1"/>
  <c r="M1071" i="20"/>
  <c r="Q1071" i="20" s="1"/>
  <c r="S1071" i="20" s="1"/>
  <c r="U1071" i="20" s="1"/>
  <c r="O895" i="15"/>
  <c r="Q895" i="15" s="1"/>
  <c r="S895" i="15" s="1"/>
  <c r="I900" i="15"/>
  <c r="I898" i="15"/>
  <c r="O898" i="15" s="1"/>
  <c r="Q898" i="15" s="1"/>
  <c r="S898" i="15" s="1"/>
  <c r="I899" i="15"/>
  <c r="O899" i="15" s="1"/>
  <c r="Q899" i="15" s="1"/>
  <c r="S899" i="15" s="1"/>
  <c r="I897" i="15"/>
  <c r="O897" i="15" s="1"/>
  <c r="Q897" i="15" s="1"/>
  <c r="S897" i="15" s="1"/>
  <c r="J400" i="15"/>
  <c r="M400" i="15" s="1"/>
  <c r="Q400" i="15" s="1"/>
  <c r="S400" i="15" s="1"/>
  <c r="M399" i="15"/>
  <c r="Q399" i="15" s="1"/>
  <c r="S399" i="15" s="1"/>
  <c r="J929" i="15"/>
  <c r="J934" i="15" s="1"/>
  <c r="M924" i="15"/>
  <c r="Q924" i="15" s="1"/>
  <c r="S924" i="15" s="1"/>
  <c r="J930" i="15"/>
  <c r="J935" i="15" s="1"/>
  <c r="M925" i="15"/>
  <c r="Q925" i="15" s="1"/>
  <c r="S925" i="15" s="1"/>
  <c r="G189" i="8"/>
  <c r="J188" i="8"/>
  <c r="N188" i="8" s="1"/>
  <c r="P188" i="8" s="1"/>
  <c r="M399" i="20"/>
  <c r="Q399" i="20" s="1"/>
  <c r="S399" i="20" s="1"/>
  <c r="U399" i="20" s="1"/>
  <c r="J400" i="20"/>
  <c r="M400" i="20" s="1"/>
  <c r="Q400" i="20" s="1"/>
  <c r="S400" i="20" s="1"/>
  <c r="U400" i="20" s="1"/>
  <c r="I897" i="20"/>
  <c r="O897" i="20" s="1"/>
  <c r="Q897" i="20" s="1"/>
  <c r="S897" i="20" s="1"/>
  <c r="U897" i="20" s="1"/>
  <c r="I896" i="20"/>
  <c r="O896" i="20" s="1"/>
  <c r="Q896" i="20" s="1"/>
  <c r="S896" i="20" s="1"/>
  <c r="U896" i="20" s="1"/>
  <c r="I899" i="20"/>
  <c r="O894" i="20"/>
  <c r="Q894" i="20" s="1"/>
  <c r="S894" i="20" s="1"/>
  <c r="U894" i="20" s="1"/>
  <c r="I898" i="20"/>
  <c r="O898" i="20" s="1"/>
  <c r="Q898" i="20" s="1"/>
  <c r="S898" i="20" s="1"/>
  <c r="U898" i="20" s="1"/>
  <c r="M1017" i="15"/>
  <c r="Q1017" i="15" s="1"/>
  <c r="S1017" i="15" s="1"/>
  <c r="J1018" i="15"/>
  <c r="M1018" i="15" s="1"/>
  <c r="Q1018" i="15" s="1"/>
  <c r="S1018" i="15" s="1"/>
  <c r="M1015" i="20"/>
  <c r="Q1015" i="20" s="1"/>
  <c r="S1015" i="20" s="1"/>
  <c r="U1015" i="20" s="1"/>
  <c r="J1016" i="20"/>
  <c r="J1072" i="15"/>
  <c r="M1071" i="15"/>
  <c r="Q1071" i="15" s="1"/>
  <c r="S1071" i="15" s="1"/>
  <c r="M1154" i="20"/>
  <c r="Q1154" i="20" s="1"/>
  <c r="S1154" i="20" s="1"/>
  <c r="U1154" i="20" s="1"/>
  <c r="J1155" i="20"/>
  <c r="I282" i="20"/>
  <c r="O277" i="20"/>
  <c r="Q277" i="20" s="1"/>
  <c r="S277" i="20" s="1"/>
  <c r="U277" i="20" s="1"/>
  <c r="I281" i="20"/>
  <c r="O281" i="20" s="1"/>
  <c r="Q281" i="20" s="1"/>
  <c r="S281" i="20" s="1"/>
  <c r="U281" i="20" s="1"/>
  <c r="I280" i="20"/>
  <c r="O280" i="20" s="1"/>
  <c r="Q280" i="20" s="1"/>
  <c r="S280" i="20" s="1"/>
  <c r="U280" i="20" s="1"/>
  <c r="I279" i="20"/>
  <c r="O279" i="20" s="1"/>
  <c r="Q279" i="20" s="1"/>
  <c r="S279" i="20" s="1"/>
  <c r="U279" i="20" s="1"/>
  <c r="J337" i="20"/>
  <c r="M334" i="20"/>
  <c r="Q334" i="20" s="1"/>
  <c r="S334" i="20" s="1"/>
  <c r="U334" i="20" s="1"/>
  <c r="M528" i="20"/>
  <c r="Q528" i="20" s="1"/>
  <c r="S528" i="20" s="1"/>
  <c r="U528" i="20" s="1"/>
  <c r="J529" i="20"/>
  <c r="J435" i="20"/>
  <c r="M434" i="20"/>
  <c r="Q434" i="20" s="1"/>
  <c r="S434" i="20" s="1"/>
  <c r="U434" i="20" s="1"/>
  <c r="J956" i="15"/>
  <c r="M955" i="15"/>
  <c r="Q955" i="15" s="1"/>
  <c r="S955" i="15" s="1"/>
  <c r="M305" i="20"/>
  <c r="Q305" i="20" s="1"/>
  <c r="S305" i="20" s="1"/>
  <c r="U305" i="20" s="1"/>
  <c r="J310" i="20"/>
  <c r="J315" i="20" s="1"/>
  <c r="J312" i="20"/>
  <c r="J317" i="20" s="1"/>
  <c r="M307" i="20"/>
  <c r="Q307" i="20" s="1"/>
  <c r="S307" i="20" s="1"/>
  <c r="U307" i="20" s="1"/>
  <c r="E189" i="11"/>
  <c r="H188" i="11"/>
  <c r="L188" i="11" s="1"/>
  <c r="N188" i="11" s="1"/>
  <c r="M453" i="15"/>
  <c r="Q453" i="15" s="1"/>
  <c r="S453" i="15" s="1"/>
  <c r="J454" i="15"/>
  <c r="M436" i="15"/>
  <c r="Q436" i="15" s="1"/>
  <c r="S436" i="15" s="1"/>
  <c r="J437" i="15"/>
  <c r="J439" i="15" s="1"/>
  <c r="D11" i="20"/>
  <c r="F53" i="20"/>
  <c r="F43" i="20"/>
  <c r="C10" i="20"/>
  <c r="H281" i="24" l="1"/>
  <c r="Q281" i="24" s="1"/>
  <c r="S281" i="24" s="1"/>
  <c r="U281" i="24" s="1"/>
  <c r="H280" i="24"/>
  <c r="Q280" i="24" s="1"/>
  <c r="S280" i="24" s="1"/>
  <c r="U280" i="24" s="1"/>
  <c r="H283" i="24"/>
  <c r="H282" i="24"/>
  <c r="Q282" i="24" s="1"/>
  <c r="S282" i="24" s="1"/>
  <c r="U282" i="24" s="1"/>
  <c r="Q278" i="24"/>
  <c r="S278" i="24" s="1"/>
  <c r="U278" i="24" s="1"/>
  <c r="O952" i="24"/>
  <c r="S952" i="24" s="1"/>
  <c r="U952" i="24" s="1"/>
  <c r="O1017" i="24"/>
  <c r="S1017" i="24" s="1"/>
  <c r="U1017" i="24" s="1"/>
  <c r="O1018" i="24"/>
  <c r="S1018" i="24" s="1"/>
  <c r="U1018" i="24" s="1"/>
  <c r="H905" i="24"/>
  <c r="Q905" i="24" s="1"/>
  <c r="S905" i="24" s="1"/>
  <c r="U905" i="24" s="1"/>
  <c r="H904" i="24"/>
  <c r="Q904" i="24" s="1"/>
  <c r="S904" i="24" s="1"/>
  <c r="U904" i="24" s="1"/>
  <c r="H903" i="24"/>
  <c r="Q903" i="24" s="1"/>
  <c r="S903" i="24" s="1"/>
  <c r="U903" i="24" s="1"/>
  <c r="H902" i="24"/>
  <c r="Q902" i="24" s="1"/>
  <c r="S902" i="24" s="1"/>
  <c r="U902" i="24" s="1"/>
  <c r="Q900" i="24"/>
  <c r="S900" i="24" s="1"/>
  <c r="U900" i="24" s="1"/>
  <c r="O1051" i="24"/>
  <c r="S1051" i="24" s="1"/>
  <c r="U1051" i="24" s="1"/>
  <c r="O455" i="24"/>
  <c r="S455" i="24" s="1"/>
  <c r="U455" i="24" s="1"/>
  <c r="C13" i="24"/>
  <c r="A12" i="24"/>
  <c r="O436" i="24"/>
  <c r="S436" i="24" s="1"/>
  <c r="U436" i="24" s="1"/>
  <c r="O335" i="24"/>
  <c r="S335" i="24" s="1"/>
  <c r="U335" i="24" s="1"/>
  <c r="O401" i="24"/>
  <c r="S401" i="24" s="1"/>
  <c r="U401" i="24" s="1"/>
  <c r="O400" i="24"/>
  <c r="S400" i="24" s="1"/>
  <c r="U400" i="24" s="1"/>
  <c r="O1072" i="24"/>
  <c r="S1072" i="24" s="1"/>
  <c r="U1072" i="24" s="1"/>
  <c r="O1156" i="24"/>
  <c r="S1156" i="24" s="1"/>
  <c r="U1156" i="24" s="1"/>
  <c r="J1075" i="20"/>
  <c r="M1074" i="20"/>
  <c r="Q1074" i="20" s="1"/>
  <c r="S1074" i="20" s="1"/>
  <c r="U1074" i="20" s="1"/>
  <c r="J1156" i="15"/>
  <c r="M1155" i="15"/>
  <c r="Q1155" i="15" s="1"/>
  <c r="S1155" i="15" s="1"/>
  <c r="J955" i="20"/>
  <c r="M954" i="20"/>
  <c r="Q954" i="20" s="1"/>
  <c r="S954" i="20" s="1"/>
  <c r="U954" i="20" s="1"/>
  <c r="J436" i="20"/>
  <c r="M435" i="20"/>
  <c r="Q435" i="20" s="1"/>
  <c r="S435" i="20" s="1"/>
  <c r="U435" i="20" s="1"/>
  <c r="J338" i="20"/>
  <c r="M337" i="20"/>
  <c r="Q337" i="20" s="1"/>
  <c r="S337" i="20" s="1"/>
  <c r="U337" i="20" s="1"/>
  <c r="I904" i="20"/>
  <c r="O904" i="20" s="1"/>
  <c r="Q904" i="20" s="1"/>
  <c r="S904" i="20" s="1"/>
  <c r="U904" i="20" s="1"/>
  <c r="I903" i="20"/>
  <c r="O903" i="20" s="1"/>
  <c r="Q903" i="20" s="1"/>
  <c r="S903" i="20" s="1"/>
  <c r="U903" i="20" s="1"/>
  <c r="I902" i="20"/>
  <c r="O902" i="20" s="1"/>
  <c r="Q902" i="20" s="1"/>
  <c r="S902" i="20" s="1"/>
  <c r="U902" i="20" s="1"/>
  <c r="I901" i="20"/>
  <c r="O901" i="20" s="1"/>
  <c r="Q901" i="20" s="1"/>
  <c r="S901" i="20" s="1"/>
  <c r="U901" i="20" s="1"/>
  <c r="O899" i="20"/>
  <c r="Q899" i="20" s="1"/>
  <c r="S899" i="20" s="1"/>
  <c r="U899" i="20" s="1"/>
  <c r="I903" i="15"/>
  <c r="O903" i="15" s="1"/>
  <c r="Q903" i="15" s="1"/>
  <c r="S903" i="15" s="1"/>
  <c r="I905" i="15"/>
  <c r="O905" i="15" s="1"/>
  <c r="Q905" i="15" s="1"/>
  <c r="S905" i="15" s="1"/>
  <c r="I902" i="15"/>
  <c r="O902" i="15" s="1"/>
  <c r="Q902" i="15" s="1"/>
  <c r="S902" i="15" s="1"/>
  <c r="I904" i="15"/>
  <c r="O904" i="15" s="1"/>
  <c r="Q904" i="15" s="1"/>
  <c r="S904" i="15" s="1"/>
  <c r="O900" i="15"/>
  <c r="Q900" i="15" s="1"/>
  <c r="S900" i="15" s="1"/>
  <c r="C11" i="15"/>
  <c r="D12" i="15"/>
  <c r="M528" i="15"/>
  <c r="Q528" i="15" s="1"/>
  <c r="S528" i="15" s="1"/>
  <c r="J529" i="15"/>
  <c r="J456" i="15"/>
  <c r="J457" i="15" s="1"/>
  <c r="M454" i="15"/>
  <c r="Q454" i="15" s="1"/>
  <c r="S454" i="15" s="1"/>
  <c r="J531" i="20"/>
  <c r="M529" i="20"/>
  <c r="Q529" i="20" s="1"/>
  <c r="S529" i="20" s="1"/>
  <c r="U529" i="20" s="1"/>
  <c r="I287" i="20"/>
  <c r="O287" i="20" s="1"/>
  <c r="Q287" i="20" s="1"/>
  <c r="S287" i="20" s="1"/>
  <c r="U287" i="20" s="1"/>
  <c r="I286" i="20"/>
  <c r="O286" i="20" s="1"/>
  <c r="Q286" i="20" s="1"/>
  <c r="S286" i="20" s="1"/>
  <c r="U286" i="20" s="1"/>
  <c r="I285" i="20"/>
  <c r="O285" i="20" s="1"/>
  <c r="Q285" i="20" s="1"/>
  <c r="S285" i="20" s="1"/>
  <c r="U285" i="20" s="1"/>
  <c r="I284" i="20"/>
  <c r="O284" i="20" s="1"/>
  <c r="Q284" i="20" s="1"/>
  <c r="S284" i="20" s="1"/>
  <c r="U284" i="20" s="1"/>
  <c r="O282" i="20"/>
  <c r="Q282" i="20" s="1"/>
  <c r="S282" i="20" s="1"/>
  <c r="U282" i="20" s="1"/>
  <c r="J1074" i="15"/>
  <c r="J1075" i="15" s="1"/>
  <c r="M1072" i="15"/>
  <c r="Q1072" i="15" s="1"/>
  <c r="S1072" i="15" s="1"/>
  <c r="M457" i="20"/>
  <c r="Q457" i="20" s="1"/>
  <c r="S457" i="20" s="1"/>
  <c r="U457" i="20" s="1"/>
  <c r="J458" i="20"/>
  <c r="M1051" i="15"/>
  <c r="Q1051" i="15" s="1"/>
  <c r="S1051" i="15" s="1"/>
  <c r="J1052" i="15"/>
  <c r="C11" i="20"/>
  <c r="D12" i="20"/>
  <c r="J957" i="15"/>
  <c r="M956" i="15"/>
  <c r="Q956" i="15" s="1"/>
  <c r="S956" i="15" s="1"/>
  <c r="M1155" i="20"/>
  <c r="Q1155" i="20" s="1"/>
  <c r="S1155" i="20" s="1"/>
  <c r="U1155" i="20" s="1"/>
  <c r="J1156" i="20"/>
  <c r="M1016" i="20"/>
  <c r="Q1016" i="20" s="1"/>
  <c r="S1016" i="20" s="1"/>
  <c r="U1016" i="20" s="1"/>
  <c r="J1017" i="20"/>
  <c r="M1017" i="20" s="1"/>
  <c r="Q1017" i="20" s="1"/>
  <c r="S1017" i="20" s="1"/>
  <c r="U1017" i="20" s="1"/>
  <c r="M1051" i="20"/>
  <c r="Q1051" i="20" s="1"/>
  <c r="S1051" i="20" s="1"/>
  <c r="U1051" i="20" s="1"/>
  <c r="J1052" i="20"/>
  <c r="J337" i="15"/>
  <c r="M334" i="15"/>
  <c r="Q334" i="15" s="1"/>
  <c r="S334" i="15" s="1"/>
  <c r="O533" i="24" l="1"/>
  <c r="S533" i="24" s="1"/>
  <c r="U533" i="24" s="1"/>
  <c r="O535" i="24"/>
  <c r="S535" i="24" s="1"/>
  <c r="U535" i="24" s="1"/>
  <c r="O534" i="24"/>
  <c r="S534" i="24" s="1"/>
  <c r="U534" i="24" s="1"/>
  <c r="O1075" i="24"/>
  <c r="S1075" i="24" s="1"/>
  <c r="U1075" i="24" s="1"/>
  <c r="O338" i="24"/>
  <c r="S338" i="24" s="1"/>
  <c r="U338" i="24" s="1"/>
  <c r="A13" i="24"/>
  <c r="C14" i="24"/>
  <c r="O1052" i="24"/>
  <c r="S1052" i="24" s="1"/>
  <c r="U1052" i="24" s="1"/>
  <c r="H288" i="24"/>
  <c r="Q288" i="24" s="1"/>
  <c r="S288" i="24" s="1"/>
  <c r="U288" i="24" s="1"/>
  <c r="H287" i="24"/>
  <c r="Q287" i="24" s="1"/>
  <c r="S287" i="24" s="1"/>
  <c r="U287" i="24" s="1"/>
  <c r="H286" i="24"/>
  <c r="Q286" i="24" s="1"/>
  <c r="S286" i="24" s="1"/>
  <c r="U286" i="24" s="1"/>
  <c r="H285" i="24"/>
  <c r="Q285" i="24" s="1"/>
  <c r="S285" i="24" s="1"/>
  <c r="U285" i="24" s="1"/>
  <c r="Q283" i="24"/>
  <c r="S283" i="24" s="1"/>
  <c r="U283" i="24" s="1"/>
  <c r="O1157" i="24"/>
  <c r="S1157" i="24" s="1"/>
  <c r="U1157" i="24" s="1"/>
  <c r="O437" i="24"/>
  <c r="S437" i="24" s="1"/>
  <c r="U437" i="24" s="1"/>
  <c r="O955" i="24"/>
  <c r="S955" i="24" s="1"/>
  <c r="U955" i="24" s="1"/>
  <c r="O458" i="24"/>
  <c r="S458" i="24" s="1"/>
  <c r="U458" i="24" s="1"/>
  <c r="J531" i="15"/>
  <c r="M529" i="15"/>
  <c r="Q529" i="15" s="1"/>
  <c r="S529" i="15" s="1"/>
  <c r="M1052" i="15"/>
  <c r="Q1052" i="15" s="1"/>
  <c r="S1052" i="15" s="1"/>
  <c r="J1053" i="15"/>
  <c r="J533" i="20"/>
  <c r="J532" i="20"/>
  <c r="J437" i="20"/>
  <c r="J439" i="20" s="1"/>
  <c r="M436" i="20"/>
  <c r="Q436" i="20" s="1"/>
  <c r="S436" i="20" s="1"/>
  <c r="U436" i="20" s="1"/>
  <c r="M1156" i="15"/>
  <c r="Q1156" i="15" s="1"/>
  <c r="S1156" i="15" s="1"/>
  <c r="J1157" i="15"/>
  <c r="M337" i="15"/>
  <c r="Q337" i="15" s="1"/>
  <c r="S337" i="15" s="1"/>
  <c r="J338" i="15"/>
  <c r="M957" i="15"/>
  <c r="Q957" i="15" s="1"/>
  <c r="S957" i="15" s="1"/>
  <c r="J958" i="15"/>
  <c r="J1076" i="15"/>
  <c r="M1075" i="15"/>
  <c r="Q1075" i="15" s="1"/>
  <c r="S1075" i="15" s="1"/>
  <c r="C12" i="15"/>
  <c r="D13" i="15"/>
  <c r="M1052" i="20"/>
  <c r="Q1052" i="20" s="1"/>
  <c r="S1052" i="20" s="1"/>
  <c r="U1052" i="20" s="1"/>
  <c r="J1053" i="20"/>
  <c r="J1158" i="20"/>
  <c r="M1156" i="20"/>
  <c r="Q1156" i="20" s="1"/>
  <c r="S1156" i="20" s="1"/>
  <c r="U1156" i="20" s="1"/>
  <c r="D13" i="20"/>
  <c r="C12" i="20"/>
  <c r="M458" i="20"/>
  <c r="Q458" i="20" s="1"/>
  <c r="S458" i="20" s="1"/>
  <c r="U458" i="20" s="1"/>
  <c r="J459" i="20"/>
  <c r="M457" i="15"/>
  <c r="Q457" i="15" s="1"/>
  <c r="S457" i="15" s="1"/>
  <c r="J458" i="15"/>
  <c r="M338" i="20"/>
  <c r="Q338" i="20" s="1"/>
  <c r="S338" i="20" s="1"/>
  <c r="U338" i="20" s="1"/>
  <c r="J339" i="20"/>
  <c r="J956" i="20"/>
  <c r="M955" i="20"/>
  <c r="Q955" i="20" s="1"/>
  <c r="S955" i="20" s="1"/>
  <c r="U955" i="20" s="1"/>
  <c r="J1076" i="20"/>
  <c r="M1075" i="20"/>
  <c r="Q1075" i="20" s="1"/>
  <c r="S1075" i="20" s="1"/>
  <c r="U1075" i="20" s="1"/>
  <c r="O536" i="24" l="1"/>
  <c r="S536" i="24" s="1"/>
  <c r="U536" i="24" s="1"/>
  <c r="O1053" i="24"/>
  <c r="S1053" i="24" s="1"/>
  <c r="U1053" i="24" s="1"/>
  <c r="O339" i="24"/>
  <c r="S339" i="24" s="1"/>
  <c r="U339" i="24" s="1"/>
  <c r="O459" i="24"/>
  <c r="S459" i="24" s="1"/>
  <c r="U459" i="24" s="1"/>
  <c r="O956" i="24"/>
  <c r="S956" i="24" s="1"/>
  <c r="U956" i="24" s="1"/>
  <c r="E576" i="24"/>
  <c r="C15" i="24"/>
  <c r="A14" i="24"/>
  <c r="O1076" i="24"/>
  <c r="S1076" i="24" s="1"/>
  <c r="U1076" i="24" s="1"/>
  <c r="M458" i="15"/>
  <c r="Q458" i="15" s="1"/>
  <c r="S458" i="15" s="1"/>
  <c r="J459" i="15"/>
  <c r="M1053" i="20"/>
  <c r="Q1053" i="20" s="1"/>
  <c r="S1053" i="20" s="1"/>
  <c r="U1053" i="20" s="1"/>
  <c r="J1054" i="20"/>
  <c r="J1056" i="20" s="1"/>
  <c r="M338" i="15"/>
  <c r="Q338" i="15" s="1"/>
  <c r="S338" i="15" s="1"/>
  <c r="J339" i="15"/>
  <c r="M1053" i="15"/>
  <c r="Q1053" i="15" s="1"/>
  <c r="S1053" i="15" s="1"/>
  <c r="J1054" i="15"/>
  <c r="J1077" i="20"/>
  <c r="M1076" i="20"/>
  <c r="Q1076" i="20" s="1"/>
  <c r="S1076" i="20" s="1"/>
  <c r="U1076" i="20" s="1"/>
  <c r="J957" i="20"/>
  <c r="M956" i="20"/>
  <c r="Q956" i="20" s="1"/>
  <c r="S956" i="20" s="1"/>
  <c r="U956" i="20" s="1"/>
  <c r="F575" i="20"/>
  <c r="C13" i="20"/>
  <c r="D14" i="20"/>
  <c r="J1077" i="15"/>
  <c r="M1076" i="15"/>
  <c r="Q1076" i="15" s="1"/>
  <c r="S1076" i="15" s="1"/>
  <c r="M339" i="20"/>
  <c r="Q339" i="20" s="1"/>
  <c r="S339" i="20" s="1"/>
  <c r="U339" i="20" s="1"/>
  <c r="J340" i="20"/>
  <c r="M459" i="20"/>
  <c r="Q459" i="20" s="1"/>
  <c r="S459" i="20" s="1"/>
  <c r="U459" i="20" s="1"/>
  <c r="J460" i="20"/>
  <c r="F575" i="15"/>
  <c r="C13" i="15"/>
  <c r="D14" i="15"/>
  <c r="J960" i="15"/>
  <c r="M960" i="15" s="1"/>
  <c r="Q960" i="15" s="1"/>
  <c r="S960" i="15" s="1"/>
  <c r="J961" i="15"/>
  <c r="M958" i="15"/>
  <c r="Q958" i="15" s="1"/>
  <c r="S958" i="15" s="1"/>
  <c r="J1159" i="15"/>
  <c r="M1157" i="15"/>
  <c r="Q1157" i="15" s="1"/>
  <c r="S1157" i="15" s="1"/>
  <c r="M532" i="20"/>
  <c r="Q532" i="20" s="1"/>
  <c r="S532" i="20" s="1"/>
  <c r="U532" i="20" s="1"/>
  <c r="J534" i="20"/>
  <c r="M534" i="20" s="1"/>
  <c r="Q534" i="20" s="1"/>
  <c r="S534" i="20" s="1"/>
  <c r="U534" i="20" s="1"/>
  <c r="J1160" i="20"/>
  <c r="J1159" i="20"/>
  <c r="M533" i="20"/>
  <c r="Q533" i="20" s="1"/>
  <c r="S533" i="20" s="1"/>
  <c r="U533" i="20" s="1"/>
  <c r="J535" i="20"/>
  <c r="J532" i="15"/>
  <c r="J533" i="15"/>
  <c r="O1161" i="24" l="1"/>
  <c r="S1161" i="24" s="1"/>
  <c r="U1161" i="24" s="1"/>
  <c r="O460" i="24"/>
  <c r="S460" i="24" s="1"/>
  <c r="U460" i="24" s="1"/>
  <c r="O1054" i="24"/>
  <c r="S1054" i="24" s="1"/>
  <c r="U1054" i="24" s="1"/>
  <c r="O1160" i="24"/>
  <c r="S1160" i="24" s="1"/>
  <c r="U1160" i="24" s="1"/>
  <c r="O1162" i="24"/>
  <c r="S1162" i="24" s="1"/>
  <c r="U1162" i="24" s="1"/>
  <c r="O538" i="24"/>
  <c r="S538" i="24" s="1"/>
  <c r="U538" i="24" s="1"/>
  <c r="A15" i="24"/>
  <c r="C16" i="24"/>
  <c r="O1077" i="24"/>
  <c r="S1077" i="24" s="1"/>
  <c r="U1077" i="24" s="1"/>
  <c r="O957" i="24"/>
  <c r="S957" i="24" s="1"/>
  <c r="U957" i="24" s="1"/>
  <c r="O340" i="24"/>
  <c r="S340" i="24" s="1"/>
  <c r="U340" i="24" s="1"/>
  <c r="M535" i="20"/>
  <c r="Q535" i="20" s="1"/>
  <c r="S535" i="20" s="1"/>
  <c r="U535" i="20" s="1"/>
  <c r="J537" i="20"/>
  <c r="M1159" i="20"/>
  <c r="Q1159" i="20" s="1"/>
  <c r="S1159" i="20" s="1"/>
  <c r="U1159" i="20" s="1"/>
  <c r="J1161" i="20"/>
  <c r="M1161" i="20" s="1"/>
  <c r="Q1161" i="20" s="1"/>
  <c r="S1161" i="20" s="1"/>
  <c r="U1161" i="20" s="1"/>
  <c r="M532" i="15"/>
  <c r="Q532" i="15" s="1"/>
  <c r="S532" i="15" s="1"/>
  <c r="J534" i="15"/>
  <c r="M534" i="15" s="1"/>
  <c r="Q534" i="15" s="1"/>
  <c r="S534" i="15" s="1"/>
  <c r="M1160" i="20"/>
  <c r="Q1160" i="20" s="1"/>
  <c r="S1160" i="20" s="1"/>
  <c r="U1160" i="20" s="1"/>
  <c r="J1162" i="20"/>
  <c r="J1160" i="15"/>
  <c r="J1161" i="15"/>
  <c r="C14" i="15"/>
  <c r="D15" i="15"/>
  <c r="M1077" i="15"/>
  <c r="Q1077" i="15" s="1"/>
  <c r="S1077" i="15" s="1"/>
  <c r="J1078" i="15"/>
  <c r="M1054" i="15"/>
  <c r="Q1054" i="15" s="1"/>
  <c r="S1054" i="15" s="1"/>
  <c r="J1055" i="15"/>
  <c r="J1057" i="15" s="1"/>
  <c r="J343" i="20"/>
  <c r="J342" i="20"/>
  <c r="M342" i="20" s="1"/>
  <c r="Q342" i="20" s="1"/>
  <c r="S342" i="20" s="1"/>
  <c r="U342" i="20" s="1"/>
  <c r="M340" i="20"/>
  <c r="Q340" i="20" s="1"/>
  <c r="S340" i="20" s="1"/>
  <c r="U340" i="20" s="1"/>
  <c r="D15" i="20"/>
  <c r="C14" i="20"/>
  <c r="J960" i="20"/>
  <c r="J959" i="20"/>
  <c r="M959" i="20" s="1"/>
  <c r="Q959" i="20" s="1"/>
  <c r="S959" i="20" s="1"/>
  <c r="U959" i="20" s="1"/>
  <c r="M957" i="20"/>
  <c r="Q957" i="20" s="1"/>
  <c r="S957" i="20" s="1"/>
  <c r="U957" i="20" s="1"/>
  <c r="J963" i="15"/>
  <c r="J964" i="15" s="1"/>
  <c r="M961" i="15"/>
  <c r="Q961" i="15" s="1"/>
  <c r="S961" i="15" s="1"/>
  <c r="M339" i="15"/>
  <c r="Q339" i="15" s="1"/>
  <c r="S339" i="15" s="1"/>
  <c r="J340" i="15"/>
  <c r="J460" i="15"/>
  <c r="M459" i="15"/>
  <c r="Q459" i="15" s="1"/>
  <c r="S459" i="15" s="1"/>
  <c r="J535" i="15"/>
  <c r="M533" i="15"/>
  <c r="Q533" i="15" s="1"/>
  <c r="S533" i="15" s="1"/>
  <c r="J462" i="20"/>
  <c r="J464" i="20" s="1"/>
  <c r="J465" i="20" s="1"/>
  <c r="M460" i="20"/>
  <c r="Q460" i="20" s="1"/>
  <c r="S460" i="20" s="1"/>
  <c r="U460" i="20" s="1"/>
  <c r="J1079" i="20"/>
  <c r="J1081" i="20" s="1"/>
  <c r="J1082" i="20" s="1"/>
  <c r="M1077" i="20"/>
  <c r="Q1077" i="20" s="1"/>
  <c r="S1077" i="20" s="1"/>
  <c r="U1077" i="20" s="1"/>
  <c r="O960" i="24" l="1"/>
  <c r="S960" i="24" s="1"/>
  <c r="U960" i="24" s="1"/>
  <c r="O958" i="24"/>
  <c r="S958" i="24" s="1"/>
  <c r="U958" i="24" s="1"/>
  <c r="O461" i="24"/>
  <c r="S461" i="24" s="1"/>
  <c r="U461" i="24" s="1"/>
  <c r="C17" i="24"/>
  <c r="A16" i="24"/>
  <c r="O1078" i="24"/>
  <c r="S1078" i="24" s="1"/>
  <c r="U1078" i="24" s="1"/>
  <c r="O539" i="24"/>
  <c r="S539" i="24" s="1"/>
  <c r="U539" i="24" s="1"/>
  <c r="O343" i="24"/>
  <c r="S343" i="24" s="1"/>
  <c r="U343" i="24" s="1"/>
  <c r="O341" i="24"/>
  <c r="S341" i="24" s="1"/>
  <c r="U341" i="24" s="1"/>
  <c r="O1163" i="24"/>
  <c r="S1163" i="24" s="1"/>
  <c r="U1163" i="24" s="1"/>
  <c r="J342" i="15"/>
  <c r="M342" i="15" s="1"/>
  <c r="Q342" i="15" s="1"/>
  <c r="S342" i="15" s="1"/>
  <c r="J343" i="15"/>
  <c r="M340" i="15"/>
  <c r="Q340" i="15" s="1"/>
  <c r="S340" i="15" s="1"/>
  <c r="C15" i="20"/>
  <c r="D16" i="20"/>
  <c r="C15" i="15"/>
  <c r="D16" i="15"/>
  <c r="J1164" i="20"/>
  <c r="M1162" i="20"/>
  <c r="Q1162" i="20" s="1"/>
  <c r="S1162" i="20" s="1"/>
  <c r="U1162" i="20" s="1"/>
  <c r="J962" i="20"/>
  <c r="J963" i="20" s="1"/>
  <c r="M960" i="20"/>
  <c r="Q960" i="20" s="1"/>
  <c r="S960" i="20" s="1"/>
  <c r="U960" i="20" s="1"/>
  <c r="J1080" i="15"/>
  <c r="J1082" i="15" s="1"/>
  <c r="J1083" i="15" s="1"/>
  <c r="M1078" i="15"/>
  <c r="Q1078" i="15" s="1"/>
  <c r="S1078" i="15" s="1"/>
  <c r="M1161" i="15"/>
  <c r="Q1161" i="15" s="1"/>
  <c r="S1161" i="15" s="1"/>
  <c r="J1163" i="15"/>
  <c r="M537" i="20"/>
  <c r="Q537" i="20" s="1"/>
  <c r="S537" i="20" s="1"/>
  <c r="U537" i="20" s="1"/>
  <c r="J538" i="20"/>
  <c r="J537" i="15"/>
  <c r="M535" i="15"/>
  <c r="Q535" i="15" s="1"/>
  <c r="S535" i="15" s="1"/>
  <c r="J462" i="15"/>
  <c r="J464" i="15" s="1"/>
  <c r="J465" i="15" s="1"/>
  <c r="M460" i="15"/>
  <c r="Q460" i="15" s="1"/>
  <c r="S460" i="15" s="1"/>
  <c r="M964" i="15"/>
  <c r="Q964" i="15" s="1"/>
  <c r="S964" i="15" s="1"/>
  <c r="J965" i="15"/>
  <c r="J345" i="20"/>
  <c r="J346" i="20" s="1"/>
  <c r="M343" i="20"/>
  <c r="Q343" i="20" s="1"/>
  <c r="S343" i="20" s="1"/>
  <c r="U343" i="20" s="1"/>
  <c r="J1162" i="15"/>
  <c r="M1162" i="15" s="1"/>
  <c r="Q1162" i="15" s="1"/>
  <c r="S1162" i="15" s="1"/>
  <c r="M1160" i="15"/>
  <c r="Q1160" i="15" s="1"/>
  <c r="S1160" i="15" s="1"/>
  <c r="O540" i="24" l="1"/>
  <c r="S540" i="24" s="1"/>
  <c r="U540" i="24" s="1"/>
  <c r="O1165" i="24"/>
  <c r="S1165" i="24" s="1"/>
  <c r="U1165" i="24" s="1"/>
  <c r="O344" i="24"/>
  <c r="S344" i="24" s="1"/>
  <c r="U344" i="24" s="1"/>
  <c r="E219" i="24"/>
  <c r="A17" i="24"/>
  <c r="C18" i="24"/>
  <c r="O961" i="24"/>
  <c r="S961" i="24" s="1"/>
  <c r="U961" i="24" s="1"/>
  <c r="J347" i="20"/>
  <c r="M346" i="20"/>
  <c r="Q346" i="20" s="1"/>
  <c r="S346" i="20" s="1"/>
  <c r="U346" i="20" s="1"/>
  <c r="J1165" i="20"/>
  <c r="M1164" i="20"/>
  <c r="Q1164" i="20" s="1"/>
  <c r="S1164" i="20" s="1"/>
  <c r="U1164" i="20" s="1"/>
  <c r="M965" i="15"/>
  <c r="Q965" i="15" s="1"/>
  <c r="S965" i="15" s="1"/>
  <c r="J966" i="15"/>
  <c r="J1165" i="15"/>
  <c r="M1163" i="15"/>
  <c r="Q1163" i="15" s="1"/>
  <c r="S1163" i="15" s="1"/>
  <c r="F218" i="15"/>
  <c r="C16" i="15"/>
  <c r="D17" i="15"/>
  <c r="M537" i="15"/>
  <c r="Q537" i="15" s="1"/>
  <c r="S537" i="15" s="1"/>
  <c r="J538" i="15"/>
  <c r="J964" i="20"/>
  <c r="M963" i="20"/>
  <c r="Q963" i="20" s="1"/>
  <c r="S963" i="20" s="1"/>
  <c r="U963" i="20" s="1"/>
  <c r="J345" i="15"/>
  <c r="J346" i="15" s="1"/>
  <c r="M343" i="15"/>
  <c r="Q343" i="15" s="1"/>
  <c r="S343" i="15" s="1"/>
  <c r="M538" i="20"/>
  <c r="Q538" i="20" s="1"/>
  <c r="S538" i="20" s="1"/>
  <c r="U538" i="20" s="1"/>
  <c r="J539" i="20"/>
  <c r="D17" i="20"/>
  <c r="F218" i="20"/>
  <c r="C16" i="20"/>
  <c r="O964" i="24" l="1"/>
  <c r="S964" i="24" s="1"/>
  <c r="U964" i="24" s="1"/>
  <c r="O541" i="24"/>
  <c r="S541" i="24" s="1"/>
  <c r="U541" i="24" s="1"/>
  <c r="O1166" i="24"/>
  <c r="S1166" i="24" s="1"/>
  <c r="U1166" i="24" s="1"/>
  <c r="E226" i="24"/>
  <c r="C19" i="24"/>
  <c r="A18" i="24"/>
  <c r="O347" i="24"/>
  <c r="S347" i="24" s="1"/>
  <c r="U347" i="24" s="1"/>
  <c r="M346" i="15"/>
  <c r="Q346" i="15" s="1"/>
  <c r="S346" i="15" s="1"/>
  <c r="J347" i="15"/>
  <c r="M539" i="20"/>
  <c r="Q539" i="20" s="1"/>
  <c r="S539" i="20" s="1"/>
  <c r="U539" i="20" s="1"/>
  <c r="J540" i="20"/>
  <c r="F225" i="15"/>
  <c r="C17" i="15"/>
  <c r="D18" i="15"/>
  <c r="M1165" i="15"/>
  <c r="Q1165" i="15" s="1"/>
  <c r="S1165" i="15" s="1"/>
  <c r="J1166" i="15"/>
  <c r="J1166" i="20"/>
  <c r="M1165" i="20"/>
  <c r="Q1165" i="20" s="1"/>
  <c r="S1165" i="20" s="1"/>
  <c r="U1165" i="20" s="1"/>
  <c r="M964" i="20"/>
  <c r="Q964" i="20" s="1"/>
  <c r="S964" i="20" s="1"/>
  <c r="U964" i="20" s="1"/>
  <c r="J965" i="20"/>
  <c r="J967" i="15"/>
  <c r="M966" i="15"/>
  <c r="Q966" i="15" s="1"/>
  <c r="S966" i="15" s="1"/>
  <c r="F225" i="20"/>
  <c r="C17" i="20"/>
  <c r="D18" i="20"/>
  <c r="J539" i="15"/>
  <c r="M538" i="15"/>
  <c r="Q538" i="15" s="1"/>
  <c r="S538" i="15" s="1"/>
  <c r="J348" i="20"/>
  <c r="M347" i="20"/>
  <c r="Q347" i="20" s="1"/>
  <c r="S347" i="20" s="1"/>
  <c r="U347" i="20" s="1"/>
  <c r="E233" i="24" l="1"/>
  <c r="A19" i="24"/>
  <c r="C20" i="24"/>
  <c r="O544" i="24"/>
  <c r="S544" i="24" s="1"/>
  <c r="U544" i="24" s="1"/>
  <c r="O348" i="24"/>
  <c r="S348" i="24" s="1"/>
  <c r="U348" i="24" s="1"/>
  <c r="O1167" i="24"/>
  <c r="S1167" i="24" s="1"/>
  <c r="U1167" i="24" s="1"/>
  <c r="O965" i="24"/>
  <c r="S965" i="24" s="1"/>
  <c r="U965" i="24" s="1"/>
  <c r="J542" i="20"/>
  <c r="J543" i="20" s="1"/>
  <c r="M540" i="20"/>
  <c r="Q540" i="20" s="1"/>
  <c r="S540" i="20" s="1"/>
  <c r="U540" i="20" s="1"/>
  <c r="F232" i="15"/>
  <c r="C18" i="15"/>
  <c r="D19" i="15"/>
  <c r="J540" i="15"/>
  <c r="M539" i="15"/>
  <c r="Q539" i="15" s="1"/>
  <c r="S539" i="15" s="1"/>
  <c r="F232" i="20"/>
  <c r="D19" i="20"/>
  <c r="C18" i="20"/>
  <c r="J969" i="15"/>
  <c r="J970" i="15" s="1"/>
  <c r="M967" i="15"/>
  <c r="Q967" i="15" s="1"/>
  <c r="S967" i="15" s="1"/>
  <c r="J1167" i="20"/>
  <c r="M1166" i="20"/>
  <c r="Q1166" i="20" s="1"/>
  <c r="S1166" i="20" s="1"/>
  <c r="U1166" i="20" s="1"/>
  <c r="J348" i="15"/>
  <c r="M347" i="15"/>
  <c r="Q347" i="15" s="1"/>
  <c r="S347" i="15" s="1"/>
  <c r="J349" i="20"/>
  <c r="M348" i="20"/>
  <c r="Q348" i="20" s="1"/>
  <c r="S348" i="20" s="1"/>
  <c r="U348" i="20" s="1"/>
  <c r="M965" i="20"/>
  <c r="Q965" i="20" s="1"/>
  <c r="S965" i="20" s="1"/>
  <c r="U965" i="20" s="1"/>
  <c r="J966" i="20"/>
  <c r="M1166" i="15"/>
  <c r="Q1166" i="15" s="1"/>
  <c r="S1166" i="15" s="1"/>
  <c r="J1167" i="15"/>
  <c r="O1168" i="24" l="1"/>
  <c r="S1168" i="24" s="1"/>
  <c r="U1168" i="24" s="1"/>
  <c r="O545" i="24"/>
  <c r="S545" i="24" s="1"/>
  <c r="U545" i="24" s="1"/>
  <c r="O966" i="24"/>
  <c r="S966" i="24" s="1"/>
  <c r="U966" i="24" s="1"/>
  <c r="O349" i="24"/>
  <c r="S349" i="24" s="1"/>
  <c r="U349" i="24" s="1"/>
  <c r="E64" i="24"/>
  <c r="C21" i="24"/>
  <c r="A20" i="24"/>
  <c r="J1168" i="15"/>
  <c r="M1167" i="15"/>
  <c r="Q1167" i="15" s="1"/>
  <c r="S1167" i="15" s="1"/>
  <c r="M966" i="20"/>
  <c r="Q966" i="20" s="1"/>
  <c r="S966" i="20" s="1"/>
  <c r="U966" i="20" s="1"/>
  <c r="J968" i="20"/>
  <c r="J969" i="20" s="1"/>
  <c r="J349" i="15"/>
  <c r="M348" i="15"/>
  <c r="Q348" i="15" s="1"/>
  <c r="S348" i="15" s="1"/>
  <c r="M970" i="15"/>
  <c r="Q970" i="15" s="1"/>
  <c r="S970" i="15" s="1"/>
  <c r="J971" i="15"/>
  <c r="J542" i="15"/>
  <c r="J543" i="15" s="1"/>
  <c r="M540" i="15"/>
  <c r="Q540" i="15" s="1"/>
  <c r="S540" i="15" s="1"/>
  <c r="J351" i="20"/>
  <c r="J352" i="20" s="1"/>
  <c r="M349" i="20"/>
  <c r="Q349" i="20" s="1"/>
  <c r="S349" i="20" s="1"/>
  <c r="U349" i="20" s="1"/>
  <c r="J1169" i="20"/>
  <c r="J1170" i="20" s="1"/>
  <c r="M1167" i="20"/>
  <c r="Q1167" i="20" s="1"/>
  <c r="S1167" i="20" s="1"/>
  <c r="U1167" i="20" s="1"/>
  <c r="C19" i="20"/>
  <c r="D20" i="20"/>
  <c r="F63" i="20"/>
  <c r="F63" i="15"/>
  <c r="C19" i="15"/>
  <c r="D20" i="15"/>
  <c r="J544" i="20"/>
  <c r="M543" i="20"/>
  <c r="Q543" i="20" s="1"/>
  <c r="S543" i="20" s="1"/>
  <c r="U543" i="20" s="1"/>
  <c r="O350" i="24" l="1"/>
  <c r="S350" i="24" s="1"/>
  <c r="U350" i="24" s="1"/>
  <c r="O546" i="24"/>
  <c r="S546" i="24" s="1"/>
  <c r="U546" i="24" s="1"/>
  <c r="A21" i="24"/>
  <c r="C22" i="24"/>
  <c r="O967" i="24"/>
  <c r="S967" i="24" s="1"/>
  <c r="U967" i="24" s="1"/>
  <c r="O1171" i="24"/>
  <c r="S1171" i="24" s="1"/>
  <c r="U1171" i="24" s="1"/>
  <c r="C20" i="15"/>
  <c r="D21" i="15"/>
  <c r="D21" i="20"/>
  <c r="C20" i="20"/>
  <c r="J973" i="15"/>
  <c r="M973" i="15" s="1"/>
  <c r="Q973" i="15" s="1"/>
  <c r="S973" i="15" s="1"/>
  <c r="J974" i="15"/>
  <c r="M971" i="15"/>
  <c r="Q971" i="15" s="1"/>
  <c r="S971" i="15" s="1"/>
  <c r="M969" i="20"/>
  <c r="Q969" i="20" s="1"/>
  <c r="S969" i="20" s="1"/>
  <c r="U969" i="20" s="1"/>
  <c r="J970" i="20"/>
  <c r="J353" i="20"/>
  <c r="M352" i="20"/>
  <c r="Q352" i="20" s="1"/>
  <c r="S352" i="20" s="1"/>
  <c r="U352" i="20" s="1"/>
  <c r="J545" i="20"/>
  <c r="M544" i="20"/>
  <c r="Q544" i="20" s="1"/>
  <c r="S544" i="20" s="1"/>
  <c r="U544" i="20" s="1"/>
  <c r="M1170" i="20"/>
  <c r="Q1170" i="20" s="1"/>
  <c r="S1170" i="20" s="1"/>
  <c r="U1170" i="20" s="1"/>
  <c r="J1171" i="20"/>
  <c r="J544" i="15"/>
  <c r="M543" i="15"/>
  <c r="Q543" i="15" s="1"/>
  <c r="S543" i="15" s="1"/>
  <c r="M349" i="15"/>
  <c r="Q349" i="15" s="1"/>
  <c r="S349" i="15" s="1"/>
  <c r="J351" i="15"/>
  <c r="J352" i="15" s="1"/>
  <c r="J1170" i="15"/>
  <c r="J1171" i="15" s="1"/>
  <c r="M1168" i="15"/>
  <c r="Q1168" i="15" s="1"/>
  <c r="S1168" i="15" s="1"/>
  <c r="O970" i="24" l="1"/>
  <c r="S970" i="24" s="1"/>
  <c r="U970" i="24" s="1"/>
  <c r="O547" i="24"/>
  <c r="S547" i="24" s="1"/>
  <c r="U547" i="24" s="1"/>
  <c r="O1172" i="24"/>
  <c r="S1172" i="24" s="1"/>
  <c r="U1172" i="24" s="1"/>
  <c r="C23" i="24"/>
  <c r="E214" i="24"/>
  <c r="A22" i="24"/>
  <c r="O353" i="24"/>
  <c r="S353" i="24" s="1"/>
  <c r="U353" i="24" s="1"/>
  <c r="J1172" i="15"/>
  <c r="M1171" i="15"/>
  <c r="Q1171" i="15" s="1"/>
  <c r="S1171" i="15" s="1"/>
  <c r="M544" i="15"/>
  <c r="Q544" i="15" s="1"/>
  <c r="S544" i="15" s="1"/>
  <c r="J545" i="15"/>
  <c r="J546" i="20"/>
  <c r="M545" i="20"/>
  <c r="Q545" i="20" s="1"/>
  <c r="S545" i="20" s="1"/>
  <c r="U545" i="20" s="1"/>
  <c r="M352" i="15"/>
  <c r="Q352" i="15" s="1"/>
  <c r="S352" i="15" s="1"/>
  <c r="J353" i="15"/>
  <c r="M1171" i="20"/>
  <c r="Q1171" i="20" s="1"/>
  <c r="S1171" i="20" s="1"/>
  <c r="U1171" i="20" s="1"/>
  <c r="J1172" i="20"/>
  <c r="F213" i="20"/>
  <c r="C21" i="20"/>
  <c r="D22" i="20"/>
  <c r="J356" i="20"/>
  <c r="J355" i="20"/>
  <c r="M355" i="20" s="1"/>
  <c r="Q355" i="20" s="1"/>
  <c r="S355" i="20" s="1"/>
  <c r="U355" i="20" s="1"/>
  <c r="M353" i="20"/>
  <c r="Q353" i="20" s="1"/>
  <c r="S353" i="20" s="1"/>
  <c r="U353" i="20" s="1"/>
  <c r="J976" i="15"/>
  <c r="J977" i="15" s="1"/>
  <c r="M974" i="15"/>
  <c r="Q974" i="15" s="1"/>
  <c r="S974" i="15" s="1"/>
  <c r="F213" i="15"/>
  <c r="C21" i="15"/>
  <c r="D22" i="15"/>
  <c r="M970" i="20"/>
  <c r="Q970" i="20" s="1"/>
  <c r="S970" i="20" s="1"/>
  <c r="U970" i="20" s="1"/>
  <c r="J973" i="20"/>
  <c r="J972" i="20"/>
  <c r="M972" i="20" s="1"/>
  <c r="Q972" i="20" s="1"/>
  <c r="S972" i="20" s="1"/>
  <c r="U972" i="20" s="1"/>
  <c r="O354" i="24" l="1"/>
  <c r="S354" i="24" s="1"/>
  <c r="U354" i="24" s="1"/>
  <c r="O356" i="24"/>
  <c r="S356" i="24" s="1"/>
  <c r="U356" i="24" s="1"/>
  <c r="A23" i="24"/>
  <c r="E209" i="24"/>
  <c r="C24" i="24"/>
  <c r="O1173" i="24"/>
  <c r="S1173" i="24" s="1"/>
  <c r="U1173" i="24" s="1"/>
  <c r="O971" i="24"/>
  <c r="S971" i="24" s="1"/>
  <c r="U971" i="24" s="1"/>
  <c r="O973" i="24"/>
  <c r="S973" i="24" s="1"/>
  <c r="U973" i="24" s="1"/>
  <c r="J355" i="15"/>
  <c r="M355" i="15" s="1"/>
  <c r="Q355" i="15" s="1"/>
  <c r="S355" i="15" s="1"/>
  <c r="J356" i="15"/>
  <c r="M353" i="15"/>
  <c r="Q353" i="15" s="1"/>
  <c r="S353" i="15" s="1"/>
  <c r="M545" i="15"/>
  <c r="Q545" i="15" s="1"/>
  <c r="S545" i="15" s="1"/>
  <c r="J546" i="15"/>
  <c r="J975" i="20"/>
  <c r="J976" i="20" s="1"/>
  <c r="M973" i="20"/>
  <c r="Q973" i="20" s="1"/>
  <c r="S973" i="20" s="1"/>
  <c r="U973" i="20" s="1"/>
  <c r="J358" i="20"/>
  <c r="J359" i="20" s="1"/>
  <c r="M356" i="20"/>
  <c r="Q356" i="20" s="1"/>
  <c r="S356" i="20" s="1"/>
  <c r="U356" i="20" s="1"/>
  <c r="M1172" i="20"/>
  <c r="Q1172" i="20" s="1"/>
  <c r="S1172" i="20" s="1"/>
  <c r="U1172" i="20" s="1"/>
  <c r="J1173" i="20"/>
  <c r="F208" i="15"/>
  <c r="C22" i="15"/>
  <c r="D23" i="15"/>
  <c r="J978" i="15"/>
  <c r="M977" i="15"/>
  <c r="Q977" i="15" s="1"/>
  <c r="S977" i="15" s="1"/>
  <c r="D23" i="20"/>
  <c r="F208" i="20"/>
  <c r="C22" i="20"/>
  <c r="J548" i="20"/>
  <c r="J550" i="20" s="1"/>
  <c r="J551" i="20" s="1"/>
  <c r="M546" i="20"/>
  <c r="Q546" i="20" s="1"/>
  <c r="S546" i="20" s="1"/>
  <c r="U546" i="20" s="1"/>
  <c r="J1173" i="15"/>
  <c r="M1172" i="15"/>
  <c r="Q1172" i="15" s="1"/>
  <c r="S1172" i="15" s="1"/>
  <c r="O1174" i="24" l="1"/>
  <c r="S1174" i="24" s="1"/>
  <c r="U1174" i="24" s="1"/>
  <c r="O974" i="24"/>
  <c r="S974" i="24" s="1"/>
  <c r="U974" i="24" s="1"/>
  <c r="C25" i="24"/>
  <c r="A24" i="24"/>
  <c r="O357" i="24"/>
  <c r="S357" i="24" s="1"/>
  <c r="U357" i="24" s="1"/>
  <c r="M359" i="20"/>
  <c r="Q359" i="20" s="1"/>
  <c r="S359" i="20" s="1"/>
  <c r="U359" i="20" s="1"/>
  <c r="J360" i="20"/>
  <c r="M1173" i="20"/>
  <c r="Q1173" i="20" s="1"/>
  <c r="S1173" i="20" s="1"/>
  <c r="U1173" i="20" s="1"/>
  <c r="J1175" i="20"/>
  <c r="J1177" i="20" s="1"/>
  <c r="J1178" i="20" s="1"/>
  <c r="J979" i="15"/>
  <c r="M978" i="15"/>
  <c r="Q978" i="15" s="1"/>
  <c r="S978" i="15" s="1"/>
  <c r="M1173" i="15"/>
  <c r="Q1173" i="15" s="1"/>
  <c r="S1173" i="15" s="1"/>
  <c r="J1174" i="15"/>
  <c r="C23" i="15"/>
  <c r="D24" i="15"/>
  <c r="J977" i="20"/>
  <c r="M976" i="20"/>
  <c r="Q976" i="20" s="1"/>
  <c r="S976" i="20" s="1"/>
  <c r="U976" i="20" s="1"/>
  <c r="J358" i="15"/>
  <c r="J359" i="15" s="1"/>
  <c r="M356" i="15"/>
  <c r="Q356" i="15" s="1"/>
  <c r="S356" i="15" s="1"/>
  <c r="C23" i="20"/>
  <c r="D24" i="20"/>
  <c r="J548" i="15"/>
  <c r="J550" i="15" s="1"/>
  <c r="J551" i="15" s="1"/>
  <c r="M546" i="15"/>
  <c r="Q546" i="15" s="1"/>
  <c r="S546" i="15" s="1"/>
  <c r="O360" i="24" l="1"/>
  <c r="S360" i="24" s="1"/>
  <c r="U360" i="24" s="1"/>
  <c r="O977" i="24"/>
  <c r="S977" i="24" s="1"/>
  <c r="U977" i="24" s="1"/>
  <c r="A25" i="24"/>
  <c r="C26" i="24"/>
  <c r="D25" i="20"/>
  <c r="C24" i="20"/>
  <c r="J1176" i="15"/>
  <c r="J1178" i="15" s="1"/>
  <c r="J1179" i="15" s="1"/>
  <c r="M1174" i="15"/>
  <c r="Q1174" i="15" s="1"/>
  <c r="S1174" i="15" s="1"/>
  <c r="J978" i="20"/>
  <c r="M977" i="20"/>
  <c r="Q977" i="20" s="1"/>
  <c r="S977" i="20" s="1"/>
  <c r="U977" i="20" s="1"/>
  <c r="C24" i="15"/>
  <c r="D25" i="15"/>
  <c r="M360" i="20"/>
  <c r="Q360" i="20" s="1"/>
  <c r="S360" i="20" s="1"/>
  <c r="U360" i="20" s="1"/>
  <c r="J361" i="20"/>
  <c r="J360" i="15"/>
  <c r="M359" i="15"/>
  <c r="Q359" i="15" s="1"/>
  <c r="S359" i="15" s="1"/>
  <c r="M979" i="15"/>
  <c r="Q979" i="15" s="1"/>
  <c r="S979" i="15" s="1"/>
  <c r="J980" i="15"/>
  <c r="O978" i="24" l="1"/>
  <c r="S978" i="24" s="1"/>
  <c r="U978" i="24" s="1"/>
  <c r="C27" i="24"/>
  <c r="A27" i="24" s="1"/>
  <c r="A26" i="24"/>
  <c r="O361" i="24"/>
  <c r="S361" i="24" s="1"/>
  <c r="U361" i="24" s="1"/>
  <c r="C25" i="15"/>
  <c r="D26" i="15"/>
  <c r="M360" i="15"/>
  <c r="Q360" i="15" s="1"/>
  <c r="S360" i="15" s="1"/>
  <c r="J361" i="15"/>
  <c r="J982" i="15"/>
  <c r="M980" i="15"/>
  <c r="Q980" i="15" s="1"/>
  <c r="S980" i="15" s="1"/>
  <c r="M361" i="20"/>
  <c r="Q361" i="20" s="1"/>
  <c r="S361" i="20" s="1"/>
  <c r="U361" i="20" s="1"/>
  <c r="J362" i="20"/>
  <c r="J979" i="20"/>
  <c r="M978" i="20"/>
  <c r="Q978" i="20" s="1"/>
  <c r="S978" i="20" s="1"/>
  <c r="U978" i="20" s="1"/>
  <c r="C25" i="20"/>
  <c r="D26" i="20"/>
  <c r="C28" i="24" l="1"/>
  <c r="O362" i="24"/>
  <c r="S362" i="24" s="1"/>
  <c r="U362" i="24" s="1"/>
  <c r="O979" i="24"/>
  <c r="S979" i="24" s="1"/>
  <c r="U979" i="24" s="1"/>
  <c r="D27" i="20"/>
  <c r="C26" i="20"/>
  <c r="J364" i="20"/>
  <c r="M362" i="20"/>
  <c r="Q362" i="20" s="1"/>
  <c r="S362" i="20" s="1"/>
  <c r="U362" i="20" s="1"/>
  <c r="M361" i="15"/>
  <c r="Q361" i="15" s="1"/>
  <c r="S361" i="15" s="1"/>
  <c r="J362" i="15"/>
  <c r="C26" i="15"/>
  <c r="D27" i="15"/>
  <c r="J981" i="20"/>
  <c r="M979" i="20"/>
  <c r="Q979" i="20" s="1"/>
  <c r="S979" i="20" s="1"/>
  <c r="U979" i="20" s="1"/>
  <c r="J983" i="15"/>
  <c r="M982" i="15"/>
  <c r="Q982" i="15" s="1"/>
  <c r="S982" i="15" s="1"/>
  <c r="O363" i="24" l="1"/>
  <c r="S363" i="24" s="1"/>
  <c r="U363" i="24" s="1"/>
  <c r="E29" i="24"/>
  <c r="C29" i="24"/>
  <c r="O980" i="24"/>
  <c r="S980" i="24" s="1"/>
  <c r="U980" i="24" s="1"/>
  <c r="D28" i="15"/>
  <c r="F28" i="15"/>
  <c r="J985" i="15"/>
  <c r="J986" i="15" s="1"/>
  <c r="M983" i="15"/>
  <c r="Q983" i="15" s="1"/>
  <c r="S983" i="15" s="1"/>
  <c r="M364" i="20"/>
  <c r="Q364" i="20" s="1"/>
  <c r="S364" i="20" s="1"/>
  <c r="U364" i="20" s="1"/>
  <c r="J365" i="20"/>
  <c r="J364" i="15"/>
  <c r="M362" i="15"/>
  <c r="Q362" i="15" s="1"/>
  <c r="S362" i="15" s="1"/>
  <c r="M981" i="20"/>
  <c r="Q981" i="20" s="1"/>
  <c r="S981" i="20" s="1"/>
  <c r="U981" i="20" s="1"/>
  <c r="J982" i="20"/>
  <c r="D28" i="20"/>
  <c r="F28" i="20"/>
  <c r="O982" i="24" l="1"/>
  <c r="S982" i="24" s="1"/>
  <c r="U982" i="24" s="1"/>
  <c r="E30" i="24"/>
  <c r="C30" i="24"/>
  <c r="O365" i="24"/>
  <c r="S365" i="24" s="1"/>
  <c r="U365" i="24" s="1"/>
  <c r="M364" i="15"/>
  <c r="Q364" i="15" s="1"/>
  <c r="S364" i="15" s="1"/>
  <c r="J365" i="15"/>
  <c r="J987" i="15"/>
  <c r="M986" i="15"/>
  <c r="Q986" i="15" s="1"/>
  <c r="S986" i="15" s="1"/>
  <c r="F29" i="20"/>
  <c r="D29" i="20"/>
  <c r="J984" i="20"/>
  <c r="J985" i="20" s="1"/>
  <c r="M982" i="20"/>
  <c r="Q982" i="20" s="1"/>
  <c r="S982" i="20" s="1"/>
  <c r="U982" i="20" s="1"/>
  <c r="J367" i="20"/>
  <c r="J368" i="20" s="1"/>
  <c r="M365" i="20"/>
  <c r="Q365" i="20" s="1"/>
  <c r="S365" i="20" s="1"/>
  <c r="U365" i="20" s="1"/>
  <c r="F29" i="15"/>
  <c r="D29" i="15"/>
  <c r="E31" i="24" l="1"/>
  <c r="C31" i="24"/>
  <c r="O366" i="24"/>
  <c r="S366" i="24" s="1"/>
  <c r="U366" i="24" s="1"/>
  <c r="O983" i="24"/>
  <c r="S983" i="24" s="1"/>
  <c r="U983" i="24" s="1"/>
  <c r="F30" i="15"/>
  <c r="D30" i="15"/>
  <c r="M985" i="20"/>
  <c r="Q985" i="20" s="1"/>
  <c r="S985" i="20" s="1"/>
  <c r="U985" i="20" s="1"/>
  <c r="J986" i="20"/>
  <c r="J988" i="15"/>
  <c r="M987" i="15"/>
  <c r="Q987" i="15" s="1"/>
  <c r="S987" i="15" s="1"/>
  <c r="F30" i="20"/>
  <c r="D30" i="20"/>
  <c r="J367" i="15"/>
  <c r="J368" i="15" s="1"/>
  <c r="M365" i="15"/>
  <c r="Q365" i="15" s="1"/>
  <c r="S365" i="15" s="1"/>
  <c r="M368" i="20"/>
  <c r="Q368" i="20" s="1"/>
  <c r="S368" i="20" s="1"/>
  <c r="U368" i="20" s="1"/>
  <c r="J369" i="20"/>
  <c r="O369" i="24" l="1"/>
  <c r="S369" i="24" s="1"/>
  <c r="U369" i="24" s="1"/>
  <c r="E32" i="24"/>
  <c r="C32" i="24"/>
  <c r="O986" i="24"/>
  <c r="S986" i="24" s="1"/>
  <c r="U986" i="24" s="1"/>
  <c r="M369" i="20"/>
  <c r="Q369" i="20" s="1"/>
  <c r="S369" i="20" s="1"/>
  <c r="U369" i="20" s="1"/>
  <c r="J370" i="20"/>
  <c r="F31" i="20"/>
  <c r="D31" i="20"/>
  <c r="M986" i="20"/>
  <c r="Q986" i="20" s="1"/>
  <c r="S986" i="20" s="1"/>
  <c r="U986" i="20" s="1"/>
  <c r="J987" i="20"/>
  <c r="D31" i="15"/>
  <c r="F31" i="15"/>
  <c r="J369" i="15"/>
  <c r="M368" i="15"/>
  <c r="Q368" i="15" s="1"/>
  <c r="S368" i="15" s="1"/>
  <c r="M988" i="15"/>
  <c r="Q988" i="15" s="1"/>
  <c r="S988" i="15" s="1"/>
  <c r="J989" i="15"/>
  <c r="O987" i="24" l="1"/>
  <c r="S987" i="24" s="1"/>
  <c r="U987" i="24" s="1"/>
  <c r="E33" i="24"/>
  <c r="C33" i="24"/>
  <c r="O370" i="24"/>
  <c r="S370" i="24" s="1"/>
  <c r="U370" i="24" s="1"/>
  <c r="J991" i="15"/>
  <c r="J992" i="15" s="1"/>
  <c r="J993" i="15" s="1"/>
  <c r="M989" i="15"/>
  <c r="Q989" i="15" s="1"/>
  <c r="S989" i="15" s="1"/>
  <c r="F32" i="20"/>
  <c r="D32" i="20"/>
  <c r="D32" i="15"/>
  <c r="F32" i="15"/>
  <c r="M369" i="15"/>
  <c r="Q369" i="15" s="1"/>
  <c r="S369" i="15" s="1"/>
  <c r="J370" i="15"/>
  <c r="M987" i="20"/>
  <c r="Q987" i="20" s="1"/>
  <c r="S987" i="20" s="1"/>
  <c r="U987" i="20" s="1"/>
  <c r="J988" i="20"/>
  <c r="M370" i="20"/>
  <c r="Q370" i="20" s="1"/>
  <c r="S370" i="20" s="1"/>
  <c r="U370" i="20" s="1"/>
  <c r="J371" i="20"/>
  <c r="E34" i="24" l="1"/>
  <c r="C34" i="24"/>
  <c r="O988" i="24"/>
  <c r="S988" i="24" s="1"/>
  <c r="U988" i="24" s="1"/>
  <c r="O371" i="24"/>
  <c r="S371" i="24" s="1"/>
  <c r="U371" i="24" s="1"/>
  <c r="J373" i="20"/>
  <c r="J374" i="20" s="1"/>
  <c r="J375" i="20" s="1"/>
  <c r="M371" i="20"/>
  <c r="Q371" i="20" s="1"/>
  <c r="S371" i="20" s="1"/>
  <c r="U371" i="20" s="1"/>
  <c r="M370" i="15"/>
  <c r="Q370" i="15" s="1"/>
  <c r="S370" i="15" s="1"/>
  <c r="J371" i="15"/>
  <c r="F33" i="20"/>
  <c r="D33" i="20"/>
  <c r="J990" i="20"/>
  <c r="J991" i="20" s="1"/>
  <c r="J992" i="20" s="1"/>
  <c r="M988" i="20"/>
  <c r="Q988" i="20" s="1"/>
  <c r="S988" i="20" s="1"/>
  <c r="U988" i="20" s="1"/>
  <c r="F33" i="15"/>
  <c r="D33" i="15"/>
  <c r="O989" i="24" l="1"/>
  <c r="S989" i="24" s="1"/>
  <c r="U989" i="24" s="1"/>
  <c r="E35" i="24"/>
  <c r="C35" i="24"/>
  <c r="O372" i="24"/>
  <c r="S372" i="24" s="1"/>
  <c r="U372" i="24" s="1"/>
  <c r="J373" i="15"/>
  <c r="J374" i="15" s="1"/>
  <c r="J375" i="15" s="1"/>
  <c r="M371" i="15"/>
  <c r="Q371" i="15" s="1"/>
  <c r="S371" i="15" s="1"/>
  <c r="F34" i="15"/>
  <c r="D34" i="15"/>
  <c r="F34" i="20"/>
  <c r="D34" i="20"/>
  <c r="E36" i="24" l="1"/>
  <c r="C36" i="24"/>
  <c r="F35" i="15"/>
  <c r="D35" i="15"/>
  <c r="F35" i="20"/>
  <c r="D35" i="20"/>
  <c r="E37" i="24" l="1"/>
  <c r="C37" i="24"/>
  <c r="F36" i="20"/>
  <c r="D36" i="20"/>
  <c r="D36" i="15"/>
  <c r="F36" i="15"/>
  <c r="E38" i="24" l="1"/>
  <c r="C38" i="24"/>
  <c r="F37" i="15"/>
  <c r="D37" i="15"/>
  <c r="F37" i="20"/>
  <c r="D37" i="20"/>
  <c r="E39" i="24" l="1"/>
  <c r="C39" i="24"/>
  <c r="F38" i="20"/>
  <c r="D38" i="20"/>
  <c r="F38" i="15"/>
  <c r="D38" i="15"/>
  <c r="E40" i="24" l="1"/>
  <c r="C40" i="24"/>
  <c r="F39" i="15"/>
  <c r="D39" i="15"/>
  <c r="F39" i="20"/>
  <c r="D39" i="20"/>
  <c r="C41" i="24" l="1"/>
  <c r="E41" i="24"/>
  <c r="F40" i="15"/>
  <c r="D40" i="15"/>
  <c r="F40" i="20"/>
  <c r="D40" i="20"/>
  <c r="C42" i="24" l="1"/>
  <c r="C43" i="24" s="1"/>
  <c r="A43" i="24" s="1"/>
  <c r="E42" i="24"/>
  <c r="F41" i="20"/>
  <c r="D41" i="20"/>
  <c r="D42" i="20" s="1"/>
  <c r="D41" i="15"/>
  <c r="D42" i="15" s="1"/>
  <c r="F41" i="15"/>
  <c r="C44" i="24" l="1"/>
  <c r="A44" i="24" s="1"/>
  <c r="C42" i="15"/>
  <c r="D43" i="15"/>
  <c r="C42" i="20"/>
  <c r="D43" i="20"/>
  <c r="E47" i="24" l="1"/>
  <c r="C45" i="24"/>
  <c r="C43" i="20"/>
  <c r="D44" i="20"/>
  <c r="F46" i="20"/>
  <c r="D44" i="15"/>
  <c r="F46" i="15"/>
  <c r="C43" i="15"/>
  <c r="E46" i="24" l="1"/>
  <c r="C46" i="24"/>
  <c r="C47" i="24" s="1"/>
  <c r="A47" i="24" s="1"/>
  <c r="F45" i="15"/>
  <c r="D45" i="15"/>
  <c r="D46" i="15" s="1"/>
  <c r="D45" i="20"/>
  <c r="D46" i="20" s="1"/>
  <c r="F45" i="20"/>
  <c r="C48" i="24" l="1"/>
  <c r="C46" i="20"/>
  <c r="D47" i="20"/>
  <c r="F47" i="15"/>
  <c r="C46" i="15"/>
  <c r="D47" i="15"/>
  <c r="E49" i="24" l="1"/>
  <c r="C49" i="24"/>
  <c r="F48" i="20"/>
  <c r="D48" i="20"/>
  <c r="F48" i="15"/>
  <c r="D48" i="15"/>
  <c r="F57" i="15"/>
  <c r="C50" i="24" l="1"/>
  <c r="E50" i="24"/>
  <c r="F49" i="15"/>
  <c r="D49" i="15"/>
  <c r="F49" i="20"/>
  <c r="D49" i="20"/>
  <c r="E51" i="24" l="1"/>
  <c r="C51" i="24"/>
  <c r="D50" i="20"/>
  <c r="F50" i="20"/>
  <c r="F50" i="15"/>
  <c r="D50" i="15"/>
  <c r="C52" i="24" l="1"/>
  <c r="E52" i="24"/>
  <c r="D51" i="15"/>
  <c r="F51" i="15"/>
  <c r="F51" i="20"/>
  <c r="D51" i="20"/>
  <c r="E53" i="24" l="1"/>
  <c r="C53" i="24"/>
  <c r="C54" i="24" s="1"/>
  <c r="A54" i="24" s="1"/>
  <c r="F52" i="20"/>
  <c r="D52" i="20"/>
  <c r="D53" i="20" s="1"/>
  <c r="D52" i="15"/>
  <c r="D53" i="15" s="1"/>
  <c r="F52" i="15"/>
  <c r="C55" i="24" l="1"/>
  <c r="D54" i="20"/>
  <c r="C53" i="20"/>
  <c r="F54" i="15"/>
  <c r="C53" i="15"/>
  <c r="D54" i="15"/>
  <c r="E56" i="24" l="1"/>
  <c r="C56" i="24"/>
  <c r="C57" i="24" s="1"/>
  <c r="A57" i="24" s="1"/>
  <c r="F55" i="15"/>
  <c r="D55" i="15"/>
  <c r="D56" i="15" s="1"/>
  <c r="D55" i="20"/>
  <c r="D56" i="20" s="1"/>
  <c r="F55" i="20"/>
  <c r="C58" i="24" l="1"/>
  <c r="D57" i="20"/>
  <c r="C56" i="20"/>
  <c r="D57" i="15"/>
  <c r="C56" i="15"/>
  <c r="E59" i="24" l="1"/>
  <c r="C59" i="24"/>
  <c r="D58" i="20"/>
  <c r="F58" i="20"/>
  <c r="F58" i="15"/>
  <c r="D58" i="15"/>
  <c r="E60" i="24" l="1"/>
  <c r="C60" i="24"/>
  <c r="F59" i="15"/>
  <c r="D59" i="15"/>
  <c r="F59" i="20"/>
  <c r="D59" i="20"/>
  <c r="E61" i="24" l="1"/>
  <c r="C61" i="24"/>
  <c r="D60" i="15"/>
  <c r="F60" i="15"/>
  <c r="F60" i="20"/>
  <c r="D60" i="20"/>
  <c r="E62" i="24" l="1"/>
  <c r="C62" i="24"/>
  <c r="F61" i="15"/>
  <c r="D61" i="15"/>
  <c r="F61" i="20"/>
  <c r="D61" i="20"/>
  <c r="C63" i="24" l="1"/>
  <c r="C64" i="24" s="1"/>
  <c r="A64" i="24" s="1"/>
  <c r="E63" i="24"/>
  <c r="F62" i="20"/>
  <c r="D62" i="20"/>
  <c r="D63" i="20" s="1"/>
  <c r="F62" i="15"/>
  <c r="D62" i="15"/>
  <c r="D63" i="15" s="1"/>
  <c r="C65" i="24" l="1"/>
  <c r="A65" i="24" s="1"/>
  <c r="D64" i="15"/>
  <c r="C63" i="15"/>
  <c r="D64" i="20"/>
  <c r="C63" i="20"/>
  <c r="E69" i="24" l="1"/>
  <c r="C66" i="24"/>
  <c r="C64" i="20"/>
  <c r="F68" i="20"/>
  <c r="D65" i="20"/>
  <c r="D65" i="15"/>
  <c r="F68" i="15"/>
  <c r="F65" i="15"/>
  <c r="C64" i="15"/>
  <c r="E67" i="24" l="1"/>
  <c r="C67" i="24"/>
  <c r="F66" i="15"/>
  <c r="D66" i="15"/>
  <c r="F66" i="20"/>
  <c r="D66" i="20"/>
  <c r="E68" i="24" l="1"/>
  <c r="C68" i="24"/>
  <c r="C69" i="24" s="1"/>
  <c r="A69" i="24" s="1"/>
  <c r="F67" i="20"/>
  <c r="D67" i="20"/>
  <c r="D68" i="20" s="1"/>
  <c r="F67" i="15"/>
  <c r="D67" i="15"/>
  <c r="D68" i="15" s="1"/>
  <c r="E73" i="24" l="1"/>
  <c r="C70" i="24"/>
  <c r="F69" i="15"/>
  <c r="C68" i="15"/>
  <c r="D69" i="15"/>
  <c r="F72" i="15"/>
  <c r="C68" i="20"/>
  <c r="D69" i="20"/>
  <c r="F72" i="20"/>
  <c r="E71" i="24" l="1"/>
  <c r="C71" i="24"/>
  <c r="F70" i="15"/>
  <c r="D70" i="15"/>
  <c r="D70" i="20"/>
  <c r="F70" i="20"/>
  <c r="C72" i="24" l="1"/>
  <c r="C73" i="24" s="1"/>
  <c r="A73" i="24" s="1"/>
  <c r="E72" i="24"/>
  <c r="F71" i="20"/>
  <c r="D71" i="20"/>
  <c r="D72" i="20" s="1"/>
  <c r="F71" i="15"/>
  <c r="D71" i="15"/>
  <c r="D72" i="15" s="1"/>
  <c r="C74" i="24" l="1"/>
  <c r="E77" i="24"/>
  <c r="F73" i="15"/>
  <c r="C72" i="15"/>
  <c r="D73" i="15"/>
  <c r="F76" i="15"/>
  <c r="F76" i="20"/>
  <c r="C72" i="20"/>
  <c r="D73" i="20"/>
  <c r="E75" i="24" l="1"/>
  <c r="C75" i="24"/>
  <c r="D74" i="20"/>
  <c r="F74" i="20"/>
  <c r="D74" i="15"/>
  <c r="F74" i="15"/>
  <c r="E76" i="24" l="1"/>
  <c r="C76" i="24"/>
  <c r="C77" i="24" s="1"/>
  <c r="A77" i="24" s="1"/>
  <c r="F75" i="20"/>
  <c r="D75" i="20"/>
  <c r="D76" i="20" s="1"/>
  <c r="F75" i="15"/>
  <c r="D75" i="15"/>
  <c r="D76" i="15" s="1"/>
  <c r="E81" i="24" l="1"/>
  <c r="C78" i="24"/>
  <c r="F77" i="15"/>
  <c r="C76" i="15"/>
  <c r="F80" i="15"/>
  <c r="D77" i="15"/>
  <c r="D77" i="20"/>
  <c r="F80" i="20"/>
  <c r="C76" i="20"/>
  <c r="E79" i="24" l="1"/>
  <c r="C79" i="24"/>
  <c r="F78" i="15"/>
  <c r="D78" i="15"/>
  <c r="F78" i="20"/>
  <c r="D78" i="20"/>
  <c r="C80" i="24" l="1"/>
  <c r="C81" i="24" s="1"/>
  <c r="A81" i="24" s="1"/>
  <c r="E80" i="24"/>
  <c r="F79" i="20"/>
  <c r="D79" i="20"/>
  <c r="D80" i="20" s="1"/>
  <c r="D79" i="15"/>
  <c r="D80" i="15" s="1"/>
  <c r="F79" i="15"/>
  <c r="E85" i="24" l="1"/>
  <c r="C82" i="24"/>
  <c r="F84" i="15"/>
  <c r="F81" i="15"/>
  <c r="C80" i="15"/>
  <c r="D81" i="15"/>
  <c r="F84" i="20"/>
  <c r="C80" i="20"/>
  <c r="D81" i="20"/>
  <c r="E83" i="24" l="1"/>
  <c r="C83" i="24"/>
  <c r="F82" i="15"/>
  <c r="D82" i="15"/>
  <c r="F82" i="20"/>
  <c r="D82" i="20"/>
  <c r="E84" i="24" l="1"/>
  <c r="C84" i="24"/>
  <c r="C85" i="24" s="1"/>
  <c r="A85" i="24" s="1"/>
  <c r="F83" i="20"/>
  <c r="D83" i="20"/>
  <c r="D84" i="20" s="1"/>
  <c r="F83" i="15"/>
  <c r="D83" i="15"/>
  <c r="D84" i="15" s="1"/>
  <c r="E89" i="24" l="1"/>
  <c r="C86" i="24"/>
  <c r="F85" i="15"/>
  <c r="C84" i="15"/>
  <c r="F88" i="15"/>
  <c r="D85" i="15"/>
  <c r="F88" i="20"/>
  <c r="C84" i="20"/>
  <c r="D85" i="20"/>
  <c r="C87" i="24" l="1"/>
  <c r="E87" i="24"/>
  <c r="F86" i="15"/>
  <c r="D86" i="15"/>
  <c r="F86" i="20"/>
  <c r="D86" i="20"/>
  <c r="C88" i="24" l="1"/>
  <c r="C89" i="24" s="1"/>
  <c r="A89" i="24" s="1"/>
  <c r="E88" i="24"/>
  <c r="D87" i="20"/>
  <c r="D88" i="20" s="1"/>
  <c r="F87" i="20"/>
  <c r="F87" i="15"/>
  <c r="D87" i="15"/>
  <c r="D88" i="15" s="1"/>
  <c r="C90" i="24" l="1"/>
  <c r="E93" i="24"/>
  <c r="F89" i="15"/>
  <c r="C88" i="15"/>
  <c r="F92" i="15"/>
  <c r="D89" i="15"/>
  <c r="D89" i="20"/>
  <c r="F92" i="20"/>
  <c r="C88" i="20"/>
  <c r="E91" i="24" l="1"/>
  <c r="C91" i="24"/>
  <c r="F90" i="15"/>
  <c r="D90" i="15"/>
  <c r="F90" i="20"/>
  <c r="D90" i="20"/>
  <c r="E92" i="24" l="1"/>
  <c r="C92" i="24"/>
  <c r="C93" i="24" s="1"/>
  <c r="A93" i="24" s="1"/>
  <c r="F91" i="20"/>
  <c r="D91" i="20"/>
  <c r="D92" i="20" s="1"/>
  <c r="D91" i="15"/>
  <c r="D92" i="15" s="1"/>
  <c r="F91" i="15"/>
  <c r="E97" i="24" l="1"/>
  <c r="C94" i="24"/>
  <c r="F93" i="15"/>
  <c r="C92" i="15"/>
  <c r="F96" i="15"/>
  <c r="D93" i="15"/>
  <c r="C92" i="20"/>
  <c r="F96" i="20"/>
  <c r="D93" i="20"/>
  <c r="E95" i="24" l="1"/>
  <c r="C95" i="24"/>
  <c r="D94" i="15"/>
  <c r="F94" i="15"/>
  <c r="F94" i="20"/>
  <c r="D94" i="20"/>
  <c r="C96" i="24" l="1"/>
  <c r="C97" i="24" s="1"/>
  <c r="A97" i="24" s="1"/>
  <c r="E96" i="24"/>
  <c r="D95" i="20"/>
  <c r="D96" i="20" s="1"/>
  <c r="F95" i="20"/>
  <c r="F95" i="15"/>
  <c r="D95" i="15"/>
  <c r="D96" i="15" s="1"/>
  <c r="C98" i="24" l="1"/>
  <c r="E101" i="24"/>
  <c r="D97" i="20"/>
  <c r="F100" i="20"/>
  <c r="C96" i="20"/>
  <c r="D97" i="15"/>
  <c r="F100" i="15"/>
  <c r="F97" i="15"/>
  <c r="C96" i="15"/>
  <c r="C99" i="24" l="1"/>
  <c r="E99" i="24"/>
  <c r="F98" i="15"/>
  <c r="D98" i="15"/>
  <c r="F98" i="20"/>
  <c r="D98" i="20"/>
  <c r="E100" i="24" l="1"/>
  <c r="C100" i="24"/>
  <c r="C101" i="24" s="1"/>
  <c r="A101" i="24" s="1"/>
  <c r="F99" i="20"/>
  <c r="D99" i="20"/>
  <c r="D100" i="20" s="1"/>
  <c r="F99" i="15"/>
  <c r="D99" i="15"/>
  <c r="D100" i="15" s="1"/>
  <c r="C102" i="24" l="1"/>
  <c r="E105" i="24"/>
  <c r="F101" i="15"/>
  <c r="C100" i="15"/>
  <c r="D101" i="15"/>
  <c r="F104" i="15"/>
  <c r="C100" i="20"/>
  <c r="D101" i="20"/>
  <c r="F104" i="20"/>
  <c r="C103" i="24" l="1"/>
  <c r="E103" i="24"/>
  <c r="F102" i="15"/>
  <c r="D102" i="15"/>
  <c r="D102" i="20"/>
  <c r="F102" i="20"/>
  <c r="C104" i="24" l="1"/>
  <c r="C105" i="24" s="1"/>
  <c r="A105" i="24" s="1"/>
  <c r="E104" i="24"/>
  <c r="F103" i="20"/>
  <c r="D103" i="20"/>
  <c r="D104" i="20" s="1"/>
  <c r="F103" i="15"/>
  <c r="D103" i="15"/>
  <c r="D104" i="15" s="1"/>
  <c r="C106" i="24" l="1"/>
  <c r="E109" i="24"/>
  <c r="F105" i="15"/>
  <c r="C104" i="15"/>
  <c r="D105" i="15"/>
  <c r="F108" i="15"/>
  <c r="F108" i="20"/>
  <c r="C104" i="20"/>
  <c r="D105" i="20"/>
  <c r="C107" i="24" l="1"/>
  <c r="E107" i="24"/>
  <c r="D106" i="15"/>
  <c r="F106" i="15"/>
  <c r="D106" i="20"/>
  <c r="F106" i="20"/>
  <c r="E108" i="24" l="1"/>
  <c r="C108" i="24"/>
  <c r="C109" i="24" s="1"/>
  <c r="A109" i="24" s="1"/>
  <c r="F107" i="20"/>
  <c r="D107" i="20"/>
  <c r="D108" i="20" s="1"/>
  <c r="F107" i="15"/>
  <c r="D107" i="15"/>
  <c r="D108" i="15" s="1"/>
  <c r="C110" i="24" l="1"/>
  <c r="E113" i="24"/>
  <c r="F109" i="15"/>
  <c r="C108" i="15"/>
  <c r="F112" i="15"/>
  <c r="D109" i="15"/>
  <c r="D109" i="20"/>
  <c r="F112" i="20"/>
  <c r="C108" i="20"/>
  <c r="E111" i="24" l="1"/>
  <c r="C111" i="24"/>
  <c r="F110" i="15"/>
  <c r="D110" i="15"/>
  <c r="F110" i="20"/>
  <c r="D110" i="20"/>
  <c r="E112" i="24" l="1"/>
  <c r="C112" i="24"/>
  <c r="C113" i="24" s="1"/>
  <c r="A113" i="24" s="1"/>
  <c r="F111" i="20"/>
  <c r="D111" i="20"/>
  <c r="D112" i="20" s="1"/>
  <c r="D111" i="15"/>
  <c r="D112" i="15" s="1"/>
  <c r="F111" i="15"/>
  <c r="E117" i="24" l="1"/>
  <c r="C114" i="24"/>
  <c r="F116" i="15"/>
  <c r="F113" i="15"/>
  <c r="C112" i="15"/>
  <c r="D113" i="15"/>
  <c r="F116" i="20"/>
  <c r="C112" i="20"/>
  <c r="D113" i="20"/>
  <c r="E115" i="24" l="1"/>
  <c r="C115" i="24"/>
  <c r="F114" i="20"/>
  <c r="D114" i="20"/>
  <c r="F114" i="15"/>
  <c r="D114" i="15"/>
  <c r="E116" i="24" l="1"/>
  <c r="C116" i="24"/>
  <c r="C117" i="24" s="1"/>
  <c r="A117" i="24" s="1"/>
  <c r="F115" i="20"/>
  <c r="D115" i="20"/>
  <c r="D116" i="20" s="1"/>
  <c r="F115" i="15"/>
  <c r="D115" i="15"/>
  <c r="D116" i="15" s="1"/>
  <c r="C118" i="24" l="1"/>
  <c r="E121" i="24"/>
  <c r="F120" i="15"/>
  <c r="F117" i="15"/>
  <c r="C116" i="15"/>
  <c r="D117" i="15"/>
  <c r="F120" i="20"/>
  <c r="C116" i="20"/>
  <c r="D117" i="20"/>
  <c r="C119" i="24" l="1"/>
  <c r="E119" i="24"/>
  <c r="F118" i="15"/>
  <c r="D118" i="15"/>
  <c r="F118" i="20"/>
  <c r="D118" i="20"/>
  <c r="C120" i="24" l="1"/>
  <c r="C121" i="24" s="1"/>
  <c r="A121" i="24" s="1"/>
  <c r="E120" i="24"/>
  <c r="D119" i="20"/>
  <c r="D120" i="20" s="1"/>
  <c r="F119" i="20"/>
  <c r="F119" i="15"/>
  <c r="D119" i="15"/>
  <c r="D120" i="15" s="1"/>
  <c r="C122" i="24" l="1"/>
  <c r="E125" i="24"/>
  <c r="D121" i="20"/>
  <c r="F124" i="20"/>
  <c r="C120" i="20"/>
  <c r="F124" i="15"/>
  <c r="D121" i="15"/>
  <c r="C120" i="15"/>
  <c r="F121" i="15"/>
  <c r="E123" i="24" l="1"/>
  <c r="C123" i="24"/>
  <c r="F122" i="15"/>
  <c r="D122" i="15"/>
  <c r="F122" i="20"/>
  <c r="D122" i="20"/>
  <c r="E124" i="24" l="1"/>
  <c r="C124" i="24"/>
  <c r="C125" i="24" s="1"/>
  <c r="A125" i="24" s="1"/>
  <c r="F123" i="20"/>
  <c r="D123" i="20"/>
  <c r="D124" i="20" s="1"/>
  <c r="D123" i="15"/>
  <c r="D124" i="15" s="1"/>
  <c r="F123" i="15"/>
  <c r="C126" i="24" l="1"/>
  <c r="F125" i="15"/>
  <c r="C124" i="15"/>
  <c r="D125" i="15"/>
  <c r="F128" i="15"/>
  <c r="C124" i="20"/>
  <c r="D125" i="20"/>
  <c r="E127" i="24" l="1"/>
  <c r="C127" i="24"/>
  <c r="F126" i="15"/>
  <c r="D126" i="15"/>
  <c r="F126" i="20"/>
  <c r="D126" i="20"/>
  <c r="C128" i="24" l="1"/>
  <c r="C129" i="24" s="1"/>
  <c r="A129" i="24" s="1"/>
  <c r="E128" i="24"/>
  <c r="D127" i="20"/>
  <c r="D128" i="20" s="1"/>
  <c r="F127" i="20"/>
  <c r="F127" i="15"/>
  <c r="D127" i="15"/>
  <c r="D128" i="15" s="1"/>
  <c r="C130" i="24" l="1"/>
  <c r="A130" i="24" s="1"/>
  <c r="E130" i="24"/>
  <c r="F129" i="15"/>
  <c r="D129" i="15"/>
  <c r="C128" i="15"/>
  <c r="D129" i="20"/>
  <c r="F129" i="20"/>
  <c r="C128" i="20"/>
  <c r="C131" i="24" l="1"/>
  <c r="E135" i="24"/>
  <c r="F134" i="20"/>
  <c r="C129" i="20"/>
  <c r="D130" i="20"/>
  <c r="F134" i="15"/>
  <c r="F130" i="15"/>
  <c r="C129" i="15"/>
  <c r="D130" i="15"/>
  <c r="C132" i="24" l="1"/>
  <c r="E132" i="24"/>
  <c r="F131" i="15"/>
  <c r="D131" i="15"/>
  <c r="F131" i="20"/>
  <c r="D131" i="20"/>
  <c r="C133" i="24" l="1"/>
  <c r="E133" i="24"/>
  <c r="D132" i="20"/>
  <c r="F132" i="20"/>
  <c r="F132" i="15"/>
  <c r="D132" i="15"/>
  <c r="E134" i="24" l="1"/>
  <c r="C134" i="24"/>
  <c r="C135" i="24" s="1"/>
  <c r="A135" i="24" s="1"/>
  <c r="F133" i="20"/>
  <c r="D133" i="20"/>
  <c r="D134" i="20" s="1"/>
  <c r="F133" i="15"/>
  <c r="D133" i="15"/>
  <c r="D134" i="15" s="1"/>
  <c r="E140" i="24" l="1"/>
  <c r="C136" i="24"/>
  <c r="F139" i="15"/>
  <c r="F135" i="15"/>
  <c r="C134" i="15"/>
  <c r="D135" i="15"/>
  <c r="F139" i="20"/>
  <c r="D135" i="20"/>
  <c r="C134" i="20"/>
  <c r="C137" i="24" l="1"/>
  <c r="E137" i="24"/>
  <c r="F136" i="15"/>
  <c r="D136" i="15"/>
  <c r="D136" i="20"/>
  <c r="F136" i="20"/>
  <c r="E138" i="24" l="1"/>
  <c r="C138" i="24"/>
  <c r="F137" i="20"/>
  <c r="D137" i="20"/>
  <c r="F137" i="15"/>
  <c r="D137" i="15"/>
  <c r="E139" i="24" l="1"/>
  <c r="C139" i="24"/>
  <c r="C140" i="24" s="1"/>
  <c r="A140" i="24" s="1"/>
  <c r="D138" i="15"/>
  <c r="D139" i="15" s="1"/>
  <c r="F138" i="15"/>
  <c r="F138" i="20"/>
  <c r="D138" i="20"/>
  <c r="D139" i="20" s="1"/>
  <c r="E145" i="24" l="1"/>
  <c r="C141" i="24"/>
  <c r="F140" i="15"/>
  <c r="C139" i="15"/>
  <c r="F144" i="15"/>
  <c r="D140" i="15"/>
  <c r="F144" i="20"/>
  <c r="C139" i="20"/>
  <c r="D140" i="20"/>
  <c r="E142" i="24" l="1"/>
  <c r="C142" i="24"/>
  <c r="F141" i="15"/>
  <c r="D141" i="15"/>
  <c r="F141" i="20"/>
  <c r="D141" i="20"/>
  <c r="E143" i="24" l="1"/>
  <c r="C143" i="24"/>
  <c r="F142" i="20"/>
  <c r="D142" i="20"/>
  <c r="F142" i="15"/>
  <c r="D142" i="15"/>
  <c r="C144" i="24" l="1"/>
  <c r="C145" i="24" s="1"/>
  <c r="A145" i="24" s="1"/>
  <c r="E144" i="24"/>
  <c r="D143" i="20"/>
  <c r="D144" i="20" s="1"/>
  <c r="F143" i="20"/>
  <c r="F143" i="15"/>
  <c r="D143" i="15"/>
  <c r="D144" i="15" s="1"/>
  <c r="E160" i="24" l="1"/>
  <c r="C146" i="24"/>
  <c r="F159" i="15"/>
  <c r="F145" i="15"/>
  <c r="C144" i="15"/>
  <c r="D145" i="15"/>
  <c r="F159" i="20"/>
  <c r="C144" i="20"/>
  <c r="D145" i="20"/>
  <c r="E147" i="24" l="1"/>
  <c r="C147" i="24"/>
  <c r="F146" i="15"/>
  <c r="D146" i="15"/>
  <c r="F146" i="20"/>
  <c r="D146" i="20"/>
  <c r="C148" i="24" l="1"/>
  <c r="E148" i="24"/>
  <c r="F147" i="20"/>
  <c r="D147" i="20"/>
  <c r="F147" i="15"/>
  <c r="D147" i="15"/>
  <c r="C149" i="24" l="1"/>
  <c r="E149" i="24"/>
  <c r="F148" i="15"/>
  <c r="D148" i="15"/>
  <c r="D148" i="20"/>
  <c r="F148" i="20"/>
  <c r="C150" i="24" l="1"/>
  <c r="E150" i="24"/>
  <c r="F149" i="20"/>
  <c r="D149" i="20"/>
  <c r="D149" i="15"/>
  <c r="F149" i="15"/>
  <c r="C151" i="24" l="1"/>
  <c r="E151" i="24"/>
  <c r="F150" i="15"/>
  <c r="D150" i="15"/>
  <c r="D150" i="20"/>
  <c r="F150" i="20"/>
  <c r="C152" i="24" l="1"/>
  <c r="E152" i="24"/>
  <c r="F151" i="20"/>
  <c r="D151" i="20"/>
  <c r="F151" i="15"/>
  <c r="D151" i="15"/>
  <c r="C153" i="24" l="1"/>
  <c r="E153" i="24"/>
  <c r="F152" i="15"/>
  <c r="D152" i="15"/>
  <c r="D152" i="20"/>
  <c r="F152" i="20"/>
  <c r="C154" i="24" l="1"/>
  <c r="E154" i="24"/>
  <c r="D153" i="15"/>
  <c r="F153" i="15"/>
  <c r="F153" i="20"/>
  <c r="D153" i="20"/>
  <c r="C155" i="24" l="1"/>
  <c r="E155" i="24"/>
  <c r="D154" i="20"/>
  <c r="F154" i="20"/>
  <c r="F154" i="15"/>
  <c r="D154" i="15"/>
  <c r="C156" i="24" l="1"/>
  <c r="E156" i="24"/>
  <c r="F155" i="20"/>
  <c r="D155" i="20"/>
  <c r="F155" i="15"/>
  <c r="D155" i="15"/>
  <c r="C157" i="24" l="1"/>
  <c r="E157" i="24"/>
  <c r="F156" i="15"/>
  <c r="D156" i="15"/>
  <c r="D156" i="20"/>
  <c r="F156" i="20"/>
  <c r="C158" i="24" l="1"/>
  <c r="E158" i="24"/>
  <c r="F157" i="20"/>
  <c r="D157" i="20"/>
  <c r="D157" i="15"/>
  <c r="F157" i="15"/>
  <c r="C159" i="24" l="1"/>
  <c r="C160" i="24" s="1"/>
  <c r="A160" i="24" s="1"/>
  <c r="E159" i="24"/>
  <c r="F158" i="15"/>
  <c r="D158" i="15"/>
  <c r="D159" i="15" s="1"/>
  <c r="D158" i="20"/>
  <c r="D159" i="20" s="1"/>
  <c r="F158" i="20"/>
  <c r="E165" i="24" l="1"/>
  <c r="C161" i="24"/>
  <c r="C159" i="20"/>
  <c r="F164" i="20"/>
  <c r="D160" i="20"/>
  <c r="F164" i="15"/>
  <c r="F160" i="15"/>
  <c r="C159" i="15"/>
  <c r="D160" i="15"/>
  <c r="E162" i="24" l="1"/>
  <c r="C162" i="24"/>
  <c r="F161" i="20"/>
  <c r="D161" i="20"/>
  <c r="F161" i="15"/>
  <c r="D161" i="15"/>
  <c r="E163" i="24" l="1"/>
  <c r="C163" i="24"/>
  <c r="F162" i="15"/>
  <c r="D162" i="15"/>
  <c r="F162" i="20"/>
  <c r="D162" i="20"/>
  <c r="E164" i="24" l="1"/>
  <c r="C164" i="24"/>
  <c r="C165" i="24" s="1"/>
  <c r="A165" i="24" s="1"/>
  <c r="F163" i="20"/>
  <c r="D163" i="20"/>
  <c r="D164" i="20" s="1"/>
  <c r="F163" i="15"/>
  <c r="D163" i="15"/>
  <c r="D164" i="15" s="1"/>
  <c r="E170" i="24" l="1"/>
  <c r="C166" i="24"/>
  <c r="F169" i="15"/>
  <c r="F165" i="15"/>
  <c r="C164" i="15"/>
  <c r="D165" i="15"/>
  <c r="C164" i="20"/>
  <c r="F169" i="20"/>
  <c r="D165" i="20"/>
  <c r="C167" i="24" l="1"/>
  <c r="E167" i="24"/>
  <c r="F166" i="15"/>
  <c r="D166" i="15"/>
  <c r="F166" i="20"/>
  <c r="D166" i="20"/>
  <c r="C168" i="24" l="1"/>
  <c r="E168" i="24"/>
  <c r="D167" i="20"/>
  <c r="F167" i="20"/>
  <c r="D167" i="15"/>
  <c r="F167" i="15"/>
  <c r="C169" i="24" l="1"/>
  <c r="C170" i="24" s="1"/>
  <c r="A170" i="24" s="1"/>
  <c r="E169" i="24"/>
  <c r="F168" i="15"/>
  <c r="D168" i="15"/>
  <c r="D169" i="15" s="1"/>
  <c r="F168" i="20"/>
  <c r="D168" i="20"/>
  <c r="D169" i="20" s="1"/>
  <c r="E173" i="24" l="1"/>
  <c r="C171" i="24"/>
  <c r="F170" i="15"/>
  <c r="C169" i="15"/>
  <c r="F172" i="15"/>
  <c r="D170" i="15"/>
  <c r="F172" i="20"/>
  <c r="C169" i="20"/>
  <c r="D170" i="20"/>
  <c r="C172" i="24" l="1"/>
  <c r="C173" i="24" s="1"/>
  <c r="A173" i="24" s="1"/>
  <c r="E172" i="24"/>
  <c r="F171" i="15"/>
  <c r="D171" i="15"/>
  <c r="D172" i="15" s="1"/>
  <c r="D171" i="20"/>
  <c r="D172" i="20" s="1"/>
  <c r="F171" i="20"/>
  <c r="C174" i="24" l="1"/>
  <c r="F173" i="15"/>
  <c r="C172" i="15"/>
  <c r="D173" i="15"/>
  <c r="C172" i="20"/>
  <c r="D173" i="20"/>
  <c r="C175" i="24" l="1"/>
  <c r="E175" i="24"/>
  <c r="F174" i="15"/>
  <c r="D174" i="15"/>
  <c r="F174" i="20"/>
  <c r="D174" i="20"/>
  <c r="C176" i="24" l="1"/>
  <c r="E176" i="24"/>
  <c r="D175" i="20"/>
  <c r="F175" i="20"/>
  <c r="D175" i="15"/>
  <c r="F175" i="15"/>
  <c r="C177" i="24" l="1"/>
  <c r="C178" i="24" s="1"/>
  <c r="A178" i="24" s="1"/>
  <c r="E177" i="24"/>
  <c r="F176" i="15"/>
  <c r="D176" i="15"/>
  <c r="F176" i="20"/>
  <c r="D176" i="20"/>
  <c r="D177" i="20" s="1"/>
  <c r="E179" i="24" l="1"/>
  <c r="C179" i="24"/>
  <c r="A179" i="24" s="1"/>
  <c r="E605" i="24"/>
  <c r="F178" i="20"/>
  <c r="C177" i="20"/>
  <c r="D178" i="20"/>
  <c r="F604" i="20"/>
  <c r="F177" i="15"/>
  <c r="D177" i="15"/>
  <c r="C180" i="24" l="1"/>
  <c r="C178" i="20"/>
  <c r="D179" i="20"/>
  <c r="F178" i="15"/>
  <c r="D178" i="15"/>
  <c r="C177" i="15"/>
  <c r="C181" i="24" l="1"/>
  <c r="E181" i="24"/>
  <c r="D179" i="15"/>
  <c r="F182" i="15"/>
  <c r="F179" i="15"/>
  <c r="C178" i="15"/>
  <c r="F180" i="20"/>
  <c r="D180" i="20"/>
  <c r="E182" i="24" l="1"/>
  <c r="C182" i="24"/>
  <c r="C183" i="24" s="1"/>
  <c r="A183" i="24" s="1"/>
  <c r="F181" i="20"/>
  <c r="D181" i="20"/>
  <c r="D182" i="20" s="1"/>
  <c r="F180" i="15"/>
  <c r="D180" i="15"/>
  <c r="E186" i="24" l="1"/>
  <c r="C184" i="24"/>
  <c r="F181" i="15"/>
  <c r="D181" i="15"/>
  <c r="D182" i="15" s="1"/>
  <c r="C182" i="20"/>
  <c r="F185" i="20"/>
  <c r="D183" i="20"/>
  <c r="E185" i="24" l="1"/>
  <c r="C185" i="24"/>
  <c r="C186" i="24" s="1"/>
  <c r="A186" i="24" s="1"/>
  <c r="D183" i="15"/>
  <c r="F185" i="15"/>
  <c r="F183" i="15"/>
  <c r="C182" i="15"/>
  <c r="F184" i="20"/>
  <c r="D184" i="20"/>
  <c r="D185" i="20" s="1"/>
  <c r="E187" i="24" l="1"/>
  <c r="E188" i="24"/>
  <c r="C187" i="24"/>
  <c r="C188" i="24" s="1"/>
  <c r="A188" i="24" s="1"/>
  <c r="F184" i="15"/>
  <c r="D184" i="15"/>
  <c r="D185" i="15" s="1"/>
  <c r="F186" i="20"/>
  <c r="C185" i="20"/>
  <c r="D186" i="20"/>
  <c r="D187" i="20" s="1"/>
  <c r="F187" i="20"/>
  <c r="E191" i="24" l="1"/>
  <c r="C189" i="24"/>
  <c r="D186" i="15"/>
  <c r="D187" i="15" s="1"/>
  <c r="F187" i="15"/>
  <c r="F186" i="15"/>
  <c r="C185" i="15"/>
  <c r="F190" i="20"/>
  <c r="C187" i="20"/>
  <c r="D188" i="20"/>
  <c r="E190" i="24" l="1"/>
  <c r="C190" i="24"/>
  <c r="C191" i="24" s="1"/>
  <c r="A191" i="24" s="1"/>
  <c r="F189" i="20"/>
  <c r="D189" i="20"/>
  <c r="D190" i="20" s="1"/>
  <c r="F188" i="15"/>
  <c r="C187" i="15"/>
  <c r="F190" i="15"/>
  <c r="D188" i="15"/>
  <c r="E197" i="24" l="1"/>
  <c r="C192" i="24"/>
  <c r="F189" i="15"/>
  <c r="D189" i="15"/>
  <c r="D190" i="15" s="1"/>
  <c r="F196" i="20"/>
  <c r="C190" i="20"/>
  <c r="D191" i="20"/>
  <c r="C193" i="24" l="1"/>
  <c r="E193" i="24"/>
  <c r="F192" i="20"/>
  <c r="D192" i="20"/>
  <c r="D191" i="15"/>
  <c r="F196" i="15"/>
  <c r="F191" i="15"/>
  <c r="C190" i="15"/>
  <c r="E194" i="24" l="1"/>
  <c r="C194" i="24"/>
  <c r="F192" i="15"/>
  <c r="D192" i="15"/>
  <c r="F193" i="20"/>
  <c r="D193" i="20"/>
  <c r="C195" i="24" l="1"/>
  <c r="E195" i="24"/>
  <c r="D194" i="20"/>
  <c r="F194" i="20"/>
  <c r="F193" i="15"/>
  <c r="D193" i="15"/>
  <c r="E196" i="24" l="1"/>
  <c r="C196" i="24"/>
  <c r="C197" i="24" s="1"/>
  <c r="A197" i="24" s="1"/>
  <c r="F194" i="15"/>
  <c r="D194" i="15"/>
  <c r="F195" i="20"/>
  <c r="D195" i="20"/>
  <c r="D196" i="20" s="1"/>
  <c r="C198" i="24" l="1"/>
  <c r="E201" i="24"/>
  <c r="C196" i="20"/>
  <c r="F200" i="20"/>
  <c r="D197" i="20"/>
  <c r="F195" i="15"/>
  <c r="D195" i="15"/>
  <c r="D196" i="15" s="1"/>
  <c r="E199" i="24" l="1"/>
  <c r="C199" i="24"/>
  <c r="D197" i="15"/>
  <c r="F200" i="15"/>
  <c r="F197" i="15"/>
  <c r="C196" i="15"/>
  <c r="F198" i="20"/>
  <c r="D198" i="20"/>
  <c r="C200" i="24" l="1"/>
  <c r="C201" i="24" s="1"/>
  <c r="A201" i="24" s="1"/>
  <c r="E200" i="24"/>
  <c r="F199" i="20"/>
  <c r="D199" i="20"/>
  <c r="D200" i="20" s="1"/>
  <c r="D198" i="15"/>
  <c r="F198" i="15"/>
  <c r="C202" i="24" l="1"/>
  <c r="E204" i="24"/>
  <c r="D199" i="15"/>
  <c r="D200" i="15" s="1"/>
  <c r="F199" i="15"/>
  <c r="F203" i="20"/>
  <c r="C200" i="20"/>
  <c r="D201" i="20"/>
  <c r="E203" i="24" l="1"/>
  <c r="C203" i="24"/>
  <c r="C204" i="24" s="1"/>
  <c r="A204" i="24" s="1"/>
  <c r="F202" i="20"/>
  <c r="D202" i="20"/>
  <c r="D203" i="20" s="1"/>
  <c r="F201" i="15"/>
  <c r="C200" i="15"/>
  <c r="F203" i="15"/>
  <c r="D201" i="15"/>
  <c r="C205" i="24" l="1"/>
  <c r="C206" i="24" s="1"/>
  <c r="A206" i="24" s="1"/>
  <c r="E206" i="24"/>
  <c r="E205" i="24"/>
  <c r="D202" i="15"/>
  <c r="D203" i="15" s="1"/>
  <c r="F202" i="15"/>
  <c r="D204" i="20"/>
  <c r="D205" i="20" s="1"/>
  <c r="F205" i="20"/>
  <c r="F204" i="20"/>
  <c r="C203" i="20"/>
  <c r="C207" i="24" l="1"/>
  <c r="D206" i="20"/>
  <c r="C205" i="20"/>
  <c r="D204" i="15"/>
  <c r="D205" i="15" s="1"/>
  <c r="F205" i="15"/>
  <c r="F204" i="15"/>
  <c r="C203" i="15"/>
  <c r="C208" i="24" l="1"/>
  <c r="C209" i="24" s="1"/>
  <c r="A209" i="24" s="1"/>
  <c r="E208" i="24"/>
  <c r="F206" i="15"/>
  <c r="C205" i="15"/>
  <c r="D206" i="15"/>
  <c r="D207" i="20"/>
  <c r="D208" i="20" s="1"/>
  <c r="F207" i="20"/>
  <c r="C210" i="24" l="1"/>
  <c r="F207" i="15"/>
  <c r="D207" i="15"/>
  <c r="D208" i="15" s="1"/>
  <c r="C208" i="20"/>
  <c r="D209" i="20"/>
  <c r="E211" i="24" l="1"/>
  <c r="C211" i="24"/>
  <c r="F210" i="20"/>
  <c r="D210" i="20"/>
  <c r="D209" i="15"/>
  <c r="F209" i="15"/>
  <c r="C208" i="15"/>
  <c r="E212" i="24" l="1"/>
  <c r="C212" i="24"/>
  <c r="F210" i="15"/>
  <c r="D210" i="15"/>
  <c r="F211" i="20"/>
  <c r="D211" i="20"/>
  <c r="E213" i="24" l="1"/>
  <c r="C213" i="24"/>
  <c r="C214" i="24" s="1"/>
  <c r="A214" i="24" s="1"/>
  <c r="F212" i="20"/>
  <c r="D212" i="20"/>
  <c r="D213" i="20" s="1"/>
  <c r="F211" i="15"/>
  <c r="D211" i="15"/>
  <c r="C215" i="24" l="1"/>
  <c r="F212" i="15"/>
  <c r="D212" i="15"/>
  <c r="D213" i="15" s="1"/>
  <c r="D214" i="20"/>
  <c r="C213" i="20"/>
  <c r="E216" i="24" l="1"/>
  <c r="C216" i="24"/>
  <c r="F215" i="20"/>
  <c r="D215" i="20"/>
  <c r="F214" i="15"/>
  <c r="C213" i="15"/>
  <c r="D214" i="15"/>
  <c r="E217" i="24" l="1"/>
  <c r="C217" i="24"/>
  <c r="F216" i="20"/>
  <c r="D216" i="20"/>
  <c r="D215" i="15"/>
  <c r="F215" i="15"/>
  <c r="E218" i="24" l="1"/>
  <c r="C218" i="24"/>
  <c r="C219" i="24" s="1"/>
  <c r="A219" i="24" s="1"/>
  <c r="F216" i="15"/>
  <c r="D216" i="15"/>
  <c r="F217" i="20"/>
  <c r="D217" i="20"/>
  <c r="D218" i="20" s="1"/>
  <c r="C220" i="24" l="1"/>
  <c r="C218" i="20"/>
  <c r="D219" i="20"/>
  <c r="F217" i="15"/>
  <c r="D217" i="15"/>
  <c r="D218" i="15" s="1"/>
  <c r="E221" i="24" l="1"/>
  <c r="C221" i="24"/>
  <c r="F220" i="20"/>
  <c r="D220" i="20"/>
  <c r="F219" i="15"/>
  <c r="C218" i="15"/>
  <c r="D219" i="15"/>
  <c r="E222" i="24" l="1"/>
  <c r="C222" i="24"/>
  <c r="F221" i="20"/>
  <c r="D221" i="20"/>
  <c r="F220" i="15"/>
  <c r="D220" i="15"/>
  <c r="C223" i="24" l="1"/>
  <c r="E223" i="24"/>
  <c r="D221" i="15"/>
  <c r="F221" i="15"/>
  <c r="D222" i="20"/>
  <c r="F222" i="20"/>
  <c r="C224" i="24" l="1"/>
  <c r="E224" i="24"/>
  <c r="F222" i="15"/>
  <c r="D222" i="15"/>
  <c r="F223" i="20"/>
  <c r="D223" i="20"/>
  <c r="C225" i="24" l="1"/>
  <c r="C226" i="24" s="1"/>
  <c r="A226" i="24" s="1"/>
  <c r="E225" i="24"/>
  <c r="D224" i="20"/>
  <c r="D225" i="20" s="1"/>
  <c r="F224" i="20"/>
  <c r="F223" i="15"/>
  <c r="D223" i="15"/>
  <c r="C227" i="24" l="1"/>
  <c r="D224" i="15"/>
  <c r="D225" i="15" s="1"/>
  <c r="F224" i="15"/>
  <c r="C225" i="20"/>
  <c r="D226" i="20"/>
  <c r="E228" i="24" l="1"/>
  <c r="C228" i="24"/>
  <c r="F227" i="20"/>
  <c r="D227" i="20"/>
  <c r="D226" i="15"/>
  <c r="F226" i="15"/>
  <c r="C225" i="15"/>
  <c r="C229" i="24" l="1"/>
  <c r="E229" i="24"/>
  <c r="F227" i="15"/>
  <c r="D227" i="15"/>
  <c r="F228" i="20"/>
  <c r="D228" i="20"/>
  <c r="E230" i="24" l="1"/>
  <c r="C230" i="24"/>
  <c r="F229" i="20"/>
  <c r="D229" i="20"/>
  <c r="F228" i="15"/>
  <c r="D228" i="15"/>
  <c r="E231" i="24" l="1"/>
  <c r="C231" i="24"/>
  <c r="F229" i="15"/>
  <c r="D229" i="15"/>
  <c r="F230" i="20"/>
  <c r="D230" i="20"/>
  <c r="E232" i="24" l="1"/>
  <c r="C232" i="24"/>
  <c r="C233" i="24" s="1"/>
  <c r="A233" i="24" s="1"/>
  <c r="F231" i="20"/>
  <c r="D231" i="20"/>
  <c r="D232" i="20" s="1"/>
  <c r="F230" i="15"/>
  <c r="D230" i="15"/>
  <c r="C234" i="24" l="1"/>
  <c r="F231" i="15"/>
  <c r="D231" i="15"/>
  <c r="D232" i="15" s="1"/>
  <c r="C232" i="20"/>
  <c r="D233" i="20"/>
  <c r="C235" i="24" l="1"/>
  <c r="E235" i="24"/>
  <c r="F234" i="20"/>
  <c r="D234" i="20"/>
  <c r="F233" i="15"/>
  <c r="C232" i="15"/>
  <c r="D233" i="15"/>
  <c r="E236" i="24" l="1"/>
  <c r="C236" i="24"/>
  <c r="F234" i="15"/>
  <c r="D234" i="15"/>
  <c r="F235" i="20"/>
  <c r="D235" i="20"/>
  <c r="E237" i="24" l="1"/>
  <c r="C237" i="24"/>
  <c r="D236" i="20"/>
  <c r="F236" i="20"/>
  <c r="D235" i="15"/>
  <c r="F235" i="15"/>
  <c r="E238" i="24" l="1"/>
  <c r="C238" i="24"/>
  <c r="A238" i="24" s="1"/>
  <c r="D236" i="15"/>
  <c r="F236" i="15"/>
  <c r="F237" i="20"/>
  <c r="D237" i="20"/>
  <c r="C239" i="24" l="1"/>
  <c r="A239" i="24" s="1"/>
  <c r="D238" i="20"/>
  <c r="C237" i="20"/>
  <c r="F237" i="15"/>
  <c r="D237" i="15"/>
  <c r="E242" i="24" l="1"/>
  <c r="C240" i="24"/>
  <c r="D238" i="15"/>
  <c r="C237" i="15"/>
  <c r="F241" i="20"/>
  <c r="C238" i="20"/>
  <c r="D239" i="20"/>
  <c r="E241" i="24" l="1"/>
  <c r="C241" i="24"/>
  <c r="C242" i="24" s="1"/>
  <c r="A242" i="24" s="1"/>
  <c r="F239" i="15"/>
  <c r="C238" i="15"/>
  <c r="F241" i="15"/>
  <c r="D239" i="15"/>
  <c r="F240" i="20"/>
  <c r="D240" i="20"/>
  <c r="D241" i="20" s="1"/>
  <c r="E244" i="24" l="1"/>
  <c r="C243" i="24"/>
  <c r="C244" i="24" s="1"/>
  <c r="A244" i="24" s="1"/>
  <c r="F240" i="15"/>
  <c r="D240" i="15"/>
  <c r="D241" i="15" s="1"/>
  <c r="C241" i="20"/>
  <c r="F243" i="20"/>
  <c r="D242" i="20"/>
  <c r="D243" i="20" s="1"/>
  <c r="E249" i="24" l="1"/>
  <c r="C245" i="24"/>
  <c r="F248" i="20"/>
  <c r="C243" i="20"/>
  <c r="D244" i="20"/>
  <c r="F243" i="15"/>
  <c r="F242" i="15"/>
  <c r="C241" i="15"/>
  <c r="D242" i="15"/>
  <c r="D243" i="15" s="1"/>
  <c r="E246" i="24" l="1"/>
  <c r="C246" i="24"/>
  <c r="F248" i="15"/>
  <c r="F244" i="15"/>
  <c r="C243" i="15"/>
  <c r="D244" i="15"/>
  <c r="D245" i="20"/>
  <c r="F245" i="20"/>
  <c r="E247" i="24" l="1"/>
  <c r="C247" i="24"/>
  <c r="D246" i="20"/>
  <c r="F246" i="20"/>
  <c r="F245" i="15"/>
  <c r="D245" i="15"/>
  <c r="E248" i="24" l="1"/>
  <c r="C248" i="24"/>
  <c r="C249" i="24" s="1"/>
  <c r="A249" i="24" s="1"/>
  <c r="F246" i="15"/>
  <c r="D246" i="15"/>
  <c r="D247" i="20"/>
  <c r="D248" i="20" s="1"/>
  <c r="F247" i="20"/>
  <c r="C250" i="24" l="1"/>
  <c r="E254" i="24"/>
  <c r="F253" i="20"/>
  <c r="C248" i="20"/>
  <c r="D249" i="20"/>
  <c r="F247" i="15"/>
  <c r="D247" i="15"/>
  <c r="D248" i="15" s="1"/>
  <c r="E251" i="24" l="1"/>
  <c r="C251" i="24"/>
  <c r="F250" i="20"/>
  <c r="D250" i="20"/>
  <c r="F249" i="15"/>
  <c r="C248" i="15"/>
  <c r="D249" i="15"/>
  <c r="F253" i="15"/>
  <c r="E252" i="24" l="1"/>
  <c r="C252" i="24"/>
  <c r="D250" i="15"/>
  <c r="F250" i="15"/>
  <c r="D251" i="20"/>
  <c r="F251" i="20"/>
  <c r="E253" i="24" l="1"/>
  <c r="C253" i="24"/>
  <c r="C254" i="24" s="1"/>
  <c r="A254" i="24" s="1"/>
  <c r="F252" i="20"/>
  <c r="D252" i="20"/>
  <c r="D253" i="20" s="1"/>
  <c r="F251" i="15"/>
  <c r="D251" i="15"/>
  <c r="E259" i="24" l="1"/>
  <c r="C255" i="24"/>
  <c r="F252" i="15"/>
  <c r="D252" i="15"/>
  <c r="D253" i="15" s="1"/>
  <c r="F258" i="20"/>
  <c r="C253" i="20"/>
  <c r="D254" i="20"/>
  <c r="E256" i="24" l="1"/>
  <c r="C256" i="24"/>
  <c r="F254" i="15"/>
  <c r="C253" i="15"/>
  <c r="F258" i="15"/>
  <c r="D254" i="15"/>
  <c r="F255" i="20"/>
  <c r="D255" i="20"/>
  <c r="C257" i="24" l="1"/>
  <c r="E257" i="24"/>
  <c r="F255" i="15"/>
  <c r="D255" i="15"/>
  <c r="F256" i="20"/>
  <c r="D256" i="20"/>
  <c r="E258" i="24" l="1"/>
  <c r="C258" i="24"/>
  <c r="C259" i="24" s="1"/>
  <c r="A259" i="24" s="1"/>
  <c r="F257" i="20"/>
  <c r="D257" i="20"/>
  <c r="D258" i="20" s="1"/>
  <c r="F256" i="15"/>
  <c r="D256" i="15"/>
  <c r="C260" i="24" l="1"/>
  <c r="E264" i="24"/>
  <c r="F257" i="15"/>
  <c r="D257" i="15"/>
  <c r="D258" i="15" s="1"/>
  <c r="F263" i="20"/>
  <c r="C258" i="20"/>
  <c r="D259" i="20"/>
  <c r="E261" i="24" l="1"/>
  <c r="C261" i="24"/>
  <c r="D260" i="20"/>
  <c r="F260" i="20"/>
  <c r="F259" i="15"/>
  <c r="C258" i="15"/>
  <c r="D259" i="15"/>
  <c r="F263" i="15"/>
  <c r="E262" i="24" l="1"/>
  <c r="C262" i="24"/>
  <c r="D261" i="20"/>
  <c r="F261" i="20"/>
  <c r="F260" i="15"/>
  <c r="D260" i="15"/>
  <c r="E263" i="24" l="1"/>
  <c r="C263" i="24"/>
  <c r="C264" i="24" s="1"/>
  <c r="A264" i="24" s="1"/>
  <c r="F261" i="15"/>
  <c r="D261" i="15"/>
  <c r="D262" i="20"/>
  <c r="D263" i="20" s="1"/>
  <c r="F262" i="20"/>
  <c r="E269" i="24" l="1"/>
  <c r="C265" i="24"/>
  <c r="F268" i="20"/>
  <c r="C263" i="20"/>
  <c r="D264" i="20"/>
  <c r="F262" i="15"/>
  <c r="D262" i="15"/>
  <c r="D263" i="15" s="1"/>
  <c r="E266" i="24" l="1"/>
  <c r="C266" i="24"/>
  <c r="F268" i="15"/>
  <c r="F264" i="15"/>
  <c r="C263" i="15"/>
  <c r="D264" i="15"/>
  <c r="F265" i="20"/>
  <c r="D265" i="20"/>
  <c r="E267" i="24" l="1"/>
  <c r="C267" i="24"/>
  <c r="F265" i="15"/>
  <c r="D265" i="15"/>
  <c r="D266" i="20"/>
  <c r="F266" i="20"/>
  <c r="C268" i="24" l="1"/>
  <c r="C269" i="24" s="1"/>
  <c r="A269" i="24" s="1"/>
  <c r="E268" i="24"/>
  <c r="F267" i="20"/>
  <c r="D267" i="20"/>
  <c r="D268" i="20" s="1"/>
  <c r="F266" i="15"/>
  <c r="D266" i="15"/>
  <c r="E274" i="24" l="1"/>
  <c r="C270" i="24"/>
  <c r="F267" i="15"/>
  <c r="D267" i="15"/>
  <c r="D268" i="15" s="1"/>
  <c r="C268" i="20"/>
  <c r="F273" i="20"/>
  <c r="D269" i="20"/>
  <c r="E271" i="24" l="1"/>
  <c r="C271" i="24"/>
  <c r="F273" i="15"/>
  <c r="F269" i="15"/>
  <c r="C268" i="15"/>
  <c r="D269" i="15"/>
  <c r="D270" i="20"/>
  <c r="F270" i="20"/>
  <c r="C272" i="24" l="1"/>
  <c r="E272" i="24"/>
  <c r="D270" i="15"/>
  <c r="F270" i="15"/>
  <c r="F271" i="20"/>
  <c r="D271" i="20"/>
  <c r="E273" i="24" l="1"/>
  <c r="C273" i="24"/>
  <c r="C274" i="24" s="1"/>
  <c r="A274" i="24" s="1"/>
  <c r="D271" i="15"/>
  <c r="F271" i="15"/>
  <c r="F272" i="20"/>
  <c r="D272" i="20"/>
  <c r="D273" i="20" s="1"/>
  <c r="E279" i="24" l="1"/>
  <c r="C275" i="24"/>
  <c r="F278" i="20"/>
  <c r="D274" i="20"/>
  <c r="C273" i="20"/>
  <c r="D272" i="15"/>
  <c r="D273" i="15" s="1"/>
  <c r="F272" i="15"/>
  <c r="E276" i="24" l="1"/>
  <c r="C276" i="24"/>
  <c r="C273" i="15"/>
  <c r="F278" i="15"/>
  <c r="F274" i="15"/>
  <c r="D274" i="15"/>
  <c r="F275" i="20"/>
  <c r="D275" i="20"/>
  <c r="C277" i="24" l="1"/>
  <c r="E277" i="24"/>
  <c r="D276" i="20"/>
  <c r="F276" i="20"/>
  <c r="F275" i="15"/>
  <c r="D275" i="15"/>
  <c r="E278" i="24" l="1"/>
  <c r="C278" i="24"/>
  <c r="C279" i="24" s="1"/>
  <c r="A279" i="24" s="1"/>
  <c r="F276" i="15"/>
  <c r="D276" i="15"/>
  <c r="F277" i="20"/>
  <c r="D277" i="20"/>
  <c r="D278" i="20" s="1"/>
  <c r="E284" i="24" l="1"/>
  <c r="C280" i="24"/>
  <c r="F283" i="20"/>
  <c r="D279" i="20"/>
  <c r="C278" i="20"/>
  <c r="F277" i="15"/>
  <c r="D277" i="15"/>
  <c r="D278" i="15" s="1"/>
  <c r="E281" i="24" l="1"/>
  <c r="C281" i="24"/>
  <c r="F280" i="20"/>
  <c r="D280" i="20"/>
  <c r="F283" i="15"/>
  <c r="F279" i="15"/>
  <c r="D279" i="15"/>
  <c r="C278" i="15"/>
  <c r="E282" i="24" l="1"/>
  <c r="C282" i="24"/>
  <c r="F280" i="15"/>
  <c r="D280" i="15"/>
  <c r="D281" i="20"/>
  <c r="F281" i="20"/>
  <c r="C283" i="24" l="1"/>
  <c r="C284" i="24" s="1"/>
  <c r="A284" i="24" s="1"/>
  <c r="E283" i="24"/>
  <c r="F282" i="20"/>
  <c r="D282" i="20"/>
  <c r="D283" i="20" s="1"/>
  <c r="F281" i="15"/>
  <c r="D281" i="15"/>
  <c r="C285" i="24" l="1"/>
  <c r="E289" i="24"/>
  <c r="F282" i="15"/>
  <c r="D282" i="15"/>
  <c r="D283" i="15" s="1"/>
  <c r="F288" i="20"/>
  <c r="C283" i="20"/>
  <c r="D284" i="20"/>
  <c r="E286" i="24" l="1"/>
  <c r="C286" i="24"/>
  <c r="F288" i="15"/>
  <c r="F284" i="15"/>
  <c r="C283" i="15"/>
  <c r="D284" i="15"/>
  <c r="D285" i="20"/>
  <c r="F285" i="20"/>
  <c r="E287" i="24" l="1"/>
  <c r="C287" i="24"/>
  <c r="D286" i="20"/>
  <c r="F286" i="20"/>
  <c r="D285" i="15"/>
  <c r="F285" i="15"/>
  <c r="E288" i="24" l="1"/>
  <c r="C288" i="24"/>
  <c r="C289" i="24" s="1"/>
  <c r="A289" i="24" s="1"/>
  <c r="F286" i="15"/>
  <c r="D286" i="15"/>
  <c r="D287" i="20"/>
  <c r="D288" i="20" s="1"/>
  <c r="F287" i="20"/>
  <c r="E294" i="24" l="1"/>
  <c r="C290" i="24"/>
  <c r="C288" i="20"/>
  <c r="F293" i="20"/>
  <c r="D289" i="20"/>
  <c r="F287" i="15"/>
  <c r="D287" i="15"/>
  <c r="D288" i="15" s="1"/>
  <c r="C291" i="24" l="1"/>
  <c r="E291" i="24"/>
  <c r="D289" i="15"/>
  <c r="F293" i="15"/>
  <c r="F289" i="15"/>
  <c r="C288" i="15"/>
  <c r="F290" i="20"/>
  <c r="D290" i="20"/>
  <c r="E292" i="24" l="1"/>
  <c r="C292" i="24"/>
  <c r="F291" i="20"/>
  <c r="D291" i="20"/>
  <c r="F290" i="15"/>
  <c r="D290" i="15"/>
  <c r="E293" i="24" l="1"/>
  <c r="C293" i="24"/>
  <c r="C294" i="24" s="1"/>
  <c r="A294" i="24" s="1"/>
  <c r="F291" i="15"/>
  <c r="D291" i="15"/>
  <c r="D292" i="20"/>
  <c r="D293" i="20" s="1"/>
  <c r="F292" i="20"/>
  <c r="E299" i="24" l="1"/>
  <c r="C295" i="24"/>
  <c r="D294" i="20"/>
  <c r="F298" i="20"/>
  <c r="C293" i="20"/>
  <c r="F292" i="15"/>
  <c r="D292" i="15"/>
  <c r="D293" i="15" s="1"/>
  <c r="E296" i="24" l="1"/>
  <c r="C296" i="24"/>
  <c r="F295" i="20"/>
  <c r="D295" i="20"/>
  <c r="F298" i="15"/>
  <c r="F294" i="15"/>
  <c r="C293" i="15"/>
  <c r="D294" i="15"/>
  <c r="E297" i="24" l="1"/>
  <c r="C297" i="24"/>
  <c r="F295" i="15"/>
  <c r="D295" i="15"/>
  <c r="F296" i="20"/>
  <c r="D296" i="20"/>
  <c r="E298" i="24" l="1"/>
  <c r="C298" i="24"/>
  <c r="C299" i="24" s="1"/>
  <c r="A299" i="24" s="1"/>
  <c r="F297" i="20"/>
  <c r="D297" i="20"/>
  <c r="D298" i="20" s="1"/>
  <c r="D296" i="15"/>
  <c r="F296" i="15"/>
  <c r="C300" i="24" l="1"/>
  <c r="E304" i="24"/>
  <c r="C298" i="20"/>
  <c r="F303" i="20"/>
  <c r="D299" i="20"/>
  <c r="F297" i="15"/>
  <c r="D297" i="15"/>
  <c r="D298" i="15" s="1"/>
  <c r="C301" i="24" l="1"/>
  <c r="E301" i="24"/>
  <c r="F300" i="20"/>
  <c r="D300" i="20"/>
  <c r="F303" i="15"/>
  <c r="F299" i="15"/>
  <c r="C298" i="15"/>
  <c r="D299" i="15"/>
  <c r="E302" i="24" l="1"/>
  <c r="C302" i="24"/>
  <c r="D300" i="15"/>
  <c r="F300" i="15"/>
  <c r="F301" i="20"/>
  <c r="D301" i="20"/>
  <c r="E303" i="24" l="1"/>
  <c r="C303" i="24"/>
  <c r="C304" i="24" s="1"/>
  <c r="A304" i="24" s="1"/>
  <c r="F302" i="20"/>
  <c r="D302" i="20"/>
  <c r="D303" i="20" s="1"/>
  <c r="D301" i="15"/>
  <c r="F301" i="15"/>
  <c r="E309" i="24" l="1"/>
  <c r="C305" i="24"/>
  <c r="D302" i="15"/>
  <c r="D303" i="15" s="1"/>
  <c r="F302" i="15"/>
  <c r="F308" i="20"/>
  <c r="C303" i="20"/>
  <c r="D304" i="20"/>
  <c r="E306" i="24" l="1"/>
  <c r="C306" i="24"/>
  <c r="F305" i="20"/>
  <c r="D305" i="20"/>
  <c r="F304" i="15"/>
  <c r="C303" i="15"/>
  <c r="D304" i="15"/>
  <c r="F308" i="15"/>
  <c r="E307" i="24" l="1"/>
  <c r="C307" i="24"/>
  <c r="D306" i="20"/>
  <c r="F306" i="20"/>
  <c r="F305" i="15"/>
  <c r="D305" i="15"/>
  <c r="C308" i="24" l="1"/>
  <c r="C309" i="24" s="1"/>
  <c r="A309" i="24" s="1"/>
  <c r="E308" i="24"/>
  <c r="F306" i="15"/>
  <c r="D306" i="15"/>
  <c r="F307" i="20"/>
  <c r="D307" i="20"/>
  <c r="D308" i="20" s="1"/>
  <c r="C310" i="24" l="1"/>
  <c r="E314" i="24"/>
  <c r="F313" i="20"/>
  <c r="C308" i="20"/>
  <c r="D309" i="20"/>
  <c r="F307" i="15"/>
  <c r="D307" i="15"/>
  <c r="D308" i="15" s="1"/>
  <c r="E311" i="24" l="1"/>
  <c r="C311" i="24"/>
  <c r="F310" i="20"/>
  <c r="D310" i="20"/>
  <c r="F309" i="15"/>
  <c r="C308" i="15"/>
  <c r="F313" i="15"/>
  <c r="D309" i="15"/>
  <c r="E312" i="24" l="1"/>
  <c r="C312" i="24"/>
  <c r="D310" i="15"/>
  <c r="F310" i="15"/>
  <c r="D311" i="20"/>
  <c r="F311" i="20"/>
  <c r="C313" i="24" l="1"/>
  <c r="C314" i="24" s="1"/>
  <c r="A314" i="24" s="1"/>
  <c r="E313" i="24"/>
  <c r="F312" i="20"/>
  <c r="D312" i="20"/>
  <c r="D313" i="20" s="1"/>
  <c r="D311" i="15"/>
  <c r="F311" i="15"/>
  <c r="E319" i="24" l="1"/>
  <c r="C315" i="24"/>
  <c r="D312" i="15"/>
  <c r="D313" i="15" s="1"/>
  <c r="F312" i="15"/>
  <c r="F318" i="20"/>
  <c r="D314" i="20"/>
  <c r="C313" i="20"/>
  <c r="C316" i="24" l="1"/>
  <c r="E316" i="24"/>
  <c r="F315" i="20"/>
  <c r="D315" i="20"/>
  <c r="D314" i="15"/>
  <c r="C313" i="15"/>
  <c r="F318" i="15"/>
  <c r="F314" i="15"/>
  <c r="E317" i="24" l="1"/>
  <c r="C317" i="24"/>
  <c r="F315" i="15"/>
  <c r="D315" i="15"/>
  <c r="F316" i="20"/>
  <c r="D316" i="20"/>
  <c r="E318" i="24" l="1"/>
  <c r="C318" i="24"/>
  <c r="C319" i="24" s="1"/>
  <c r="A319" i="24" s="1"/>
  <c r="F317" i="20"/>
  <c r="D317" i="20"/>
  <c r="D318" i="20" s="1"/>
  <c r="F316" i="15"/>
  <c r="D316" i="15"/>
  <c r="E324" i="24" l="1"/>
  <c r="C320" i="24"/>
  <c r="F317" i="15"/>
  <c r="D317" i="15"/>
  <c r="D318" i="15" s="1"/>
  <c r="C318" i="20"/>
  <c r="D319" i="20"/>
  <c r="F323" i="20"/>
  <c r="C321" i="24" l="1"/>
  <c r="E321" i="24"/>
  <c r="F320" i="20"/>
  <c r="D320" i="20"/>
  <c r="F319" i="15"/>
  <c r="C318" i="15"/>
  <c r="F323" i="15"/>
  <c r="D319" i="15"/>
  <c r="C322" i="24" l="1"/>
  <c r="E322" i="24"/>
  <c r="D320" i="15"/>
  <c r="F320" i="15"/>
  <c r="F321" i="20"/>
  <c r="D321" i="20"/>
  <c r="C323" i="24" l="1"/>
  <c r="C324" i="24" s="1"/>
  <c r="A324" i="24" s="1"/>
  <c r="E323" i="24"/>
  <c r="F322" i="20"/>
  <c r="D322" i="20"/>
  <c r="D323" i="20" s="1"/>
  <c r="F321" i="15"/>
  <c r="D321" i="15"/>
  <c r="E327" i="24" l="1"/>
  <c r="C325" i="24"/>
  <c r="F322" i="15"/>
  <c r="D322" i="15"/>
  <c r="D323" i="15" s="1"/>
  <c r="C323" i="20"/>
  <c r="F326" i="20"/>
  <c r="D324" i="20"/>
  <c r="C326" i="24" l="1"/>
  <c r="C327" i="24" s="1"/>
  <c r="A327" i="24" s="1"/>
  <c r="E326" i="24"/>
  <c r="F325" i="20"/>
  <c r="D325" i="20"/>
  <c r="D326" i="20" s="1"/>
  <c r="F324" i="15"/>
  <c r="C323" i="15"/>
  <c r="D324" i="15"/>
  <c r="F326" i="15"/>
  <c r="E333" i="24" l="1"/>
  <c r="C328" i="24"/>
  <c r="F325" i="15"/>
  <c r="D325" i="15"/>
  <c r="D326" i="15" s="1"/>
  <c r="D327" i="20"/>
  <c r="F332" i="20"/>
  <c r="C326" i="20"/>
  <c r="C329" i="24" l="1"/>
  <c r="E329" i="24"/>
  <c r="F328" i="20"/>
  <c r="D328" i="20"/>
  <c r="F332" i="15"/>
  <c r="F327" i="15"/>
  <c r="C326" i="15"/>
  <c r="D327" i="15"/>
  <c r="C330" i="24" l="1"/>
  <c r="E330" i="24"/>
  <c r="D328" i="15"/>
  <c r="F328" i="15"/>
  <c r="F329" i="20"/>
  <c r="D329" i="20"/>
  <c r="E331" i="24" l="1"/>
  <c r="C331" i="24"/>
  <c r="F330" i="20"/>
  <c r="D330" i="20"/>
  <c r="D329" i="15"/>
  <c r="F329" i="15"/>
  <c r="E332" i="24" l="1"/>
  <c r="C332" i="24"/>
  <c r="C333" i="24" s="1"/>
  <c r="A333" i="24" s="1"/>
  <c r="F331" i="20"/>
  <c r="D331" i="20"/>
  <c r="D332" i="20" s="1"/>
  <c r="D330" i="15"/>
  <c r="F330" i="15"/>
  <c r="E336" i="24" l="1"/>
  <c r="C334" i="24"/>
  <c r="F331" i="15"/>
  <c r="D331" i="15"/>
  <c r="D332" i="15" s="1"/>
  <c r="C332" i="20"/>
  <c r="F335" i="20"/>
  <c r="D333" i="20"/>
  <c r="C335" i="24" l="1"/>
  <c r="C336" i="24" s="1"/>
  <c r="A336" i="24" s="1"/>
  <c r="E335" i="24"/>
  <c r="F334" i="20"/>
  <c r="D334" i="20"/>
  <c r="D335" i="20" s="1"/>
  <c r="F335" i="15"/>
  <c r="F333" i="15"/>
  <c r="C332" i="15"/>
  <c r="D333" i="15"/>
  <c r="E342" i="24" l="1"/>
  <c r="C337" i="24"/>
  <c r="D334" i="15"/>
  <c r="D335" i="15" s="1"/>
  <c r="F334" i="15"/>
  <c r="D336" i="20"/>
  <c r="C335" i="20"/>
  <c r="F341" i="20"/>
  <c r="C338" i="24" l="1"/>
  <c r="E338" i="24"/>
  <c r="F341" i="15"/>
  <c r="F336" i="15"/>
  <c r="D336" i="15"/>
  <c r="C335" i="15"/>
  <c r="F337" i="20"/>
  <c r="D337" i="20"/>
  <c r="C339" i="24" l="1"/>
  <c r="E339" i="24"/>
  <c r="D337" i="15"/>
  <c r="F337" i="15"/>
  <c r="F338" i="20"/>
  <c r="D338" i="20"/>
  <c r="E340" i="24" l="1"/>
  <c r="C340" i="24"/>
  <c r="F339" i="20"/>
  <c r="D339" i="20"/>
  <c r="D338" i="15"/>
  <c r="F338" i="15"/>
  <c r="E341" i="24" l="1"/>
  <c r="C341" i="24"/>
  <c r="C342" i="24" s="1"/>
  <c r="A342" i="24" s="1"/>
  <c r="D339" i="15"/>
  <c r="F339" i="15"/>
  <c r="F340" i="20"/>
  <c r="D340" i="20"/>
  <c r="D341" i="20" s="1"/>
  <c r="E345" i="24" l="1"/>
  <c r="C343" i="24"/>
  <c r="F340" i="15"/>
  <c r="D340" i="15"/>
  <c r="D341" i="15" s="1"/>
  <c r="C341" i="20"/>
  <c r="F344" i="20"/>
  <c r="D342" i="20"/>
  <c r="C344" i="24" l="1"/>
  <c r="C345" i="24" s="1"/>
  <c r="A345" i="24" s="1"/>
  <c r="E344" i="24"/>
  <c r="F343" i="20"/>
  <c r="D343" i="20"/>
  <c r="D344" i="20" s="1"/>
  <c r="F344" i="15"/>
  <c r="F342" i="15"/>
  <c r="C341" i="15"/>
  <c r="D342" i="15"/>
  <c r="E351" i="24" l="1"/>
  <c r="C346" i="24"/>
  <c r="D343" i="15"/>
  <c r="D344" i="15" s="1"/>
  <c r="F343" i="15"/>
  <c r="F350" i="20"/>
  <c r="C344" i="20"/>
  <c r="D345" i="20"/>
  <c r="E347" i="24" l="1"/>
  <c r="C347" i="24"/>
  <c r="D346" i="20"/>
  <c r="F346" i="20"/>
  <c r="F350" i="15"/>
  <c r="F345" i="15"/>
  <c r="C344" i="15"/>
  <c r="D345" i="15"/>
  <c r="C348" i="24" l="1"/>
  <c r="E348" i="24"/>
  <c r="F346" i="15"/>
  <c r="D346" i="15"/>
  <c r="F347" i="20"/>
  <c r="D347" i="20"/>
  <c r="E349" i="24" l="1"/>
  <c r="C349" i="24"/>
  <c r="F348" i="20"/>
  <c r="D348" i="20"/>
  <c r="F347" i="15"/>
  <c r="D347" i="15"/>
  <c r="E350" i="24" l="1"/>
  <c r="C350" i="24"/>
  <c r="C351" i="24" s="1"/>
  <c r="A351" i="24" s="1"/>
  <c r="F348" i="15"/>
  <c r="D348" i="15"/>
  <c r="F349" i="20"/>
  <c r="D349" i="20"/>
  <c r="D350" i="20" s="1"/>
  <c r="C352" i="24" l="1"/>
  <c r="E355" i="24"/>
  <c r="F354" i="20"/>
  <c r="C350" i="20"/>
  <c r="D351" i="20"/>
  <c r="F349" i="15"/>
  <c r="D349" i="15"/>
  <c r="D350" i="15" s="1"/>
  <c r="E353" i="24" l="1"/>
  <c r="C353" i="24"/>
  <c r="F354" i="15"/>
  <c r="F351" i="15"/>
  <c r="C350" i="15"/>
  <c r="D351" i="15"/>
  <c r="F352" i="20"/>
  <c r="D352" i="20"/>
  <c r="E354" i="24" l="1"/>
  <c r="C354" i="24"/>
  <c r="C355" i="24" s="1"/>
  <c r="A355" i="24" s="1"/>
  <c r="D352" i="15"/>
  <c r="F352" i="15"/>
  <c r="F353" i="20"/>
  <c r="D353" i="20"/>
  <c r="D354" i="20" s="1"/>
  <c r="E358" i="24" l="1"/>
  <c r="C356" i="24"/>
  <c r="C354" i="20"/>
  <c r="F357" i="20"/>
  <c r="D355" i="20"/>
  <c r="F353" i="15"/>
  <c r="D353" i="15"/>
  <c r="D354" i="15" s="1"/>
  <c r="E357" i="24" l="1"/>
  <c r="C357" i="24"/>
  <c r="C358" i="24" s="1"/>
  <c r="A358" i="24" s="1"/>
  <c r="D356" i="20"/>
  <c r="D357" i="20" s="1"/>
  <c r="F356" i="20"/>
  <c r="F357" i="15"/>
  <c r="F355" i="15"/>
  <c r="C354" i="15"/>
  <c r="D355" i="15"/>
  <c r="E364" i="24" l="1"/>
  <c r="C359" i="24"/>
  <c r="D356" i="15"/>
  <c r="D357" i="15" s="1"/>
  <c r="F356" i="15"/>
  <c r="C357" i="20"/>
  <c r="D358" i="20"/>
  <c r="F363" i="20"/>
  <c r="E360" i="24" l="1"/>
  <c r="C360" i="24"/>
  <c r="F359" i="20"/>
  <c r="D359" i="20"/>
  <c r="F363" i="15"/>
  <c r="F358" i="15"/>
  <c r="C357" i="15"/>
  <c r="D358" i="15"/>
  <c r="E361" i="24" l="1"/>
  <c r="C361" i="24"/>
  <c r="F359" i="15"/>
  <c r="D359" i="15"/>
  <c r="F360" i="20"/>
  <c r="D360" i="20"/>
  <c r="E362" i="24" l="1"/>
  <c r="C362" i="24"/>
  <c r="F361" i="20"/>
  <c r="D361" i="20"/>
  <c r="F360" i="15"/>
  <c r="D360" i="15"/>
  <c r="E363" i="24" l="1"/>
  <c r="C363" i="24"/>
  <c r="C364" i="24" s="1"/>
  <c r="A364" i="24" s="1"/>
  <c r="D361" i="15"/>
  <c r="F361" i="15"/>
  <c r="F362" i="20"/>
  <c r="D362" i="20"/>
  <c r="D363" i="20" s="1"/>
  <c r="E367" i="24" l="1"/>
  <c r="C365" i="24"/>
  <c r="F362" i="15"/>
  <c r="D362" i="15"/>
  <c r="D363" i="15" s="1"/>
  <c r="C363" i="20"/>
  <c r="F366" i="20"/>
  <c r="D364" i="20"/>
  <c r="C366" i="24" l="1"/>
  <c r="C367" i="24" s="1"/>
  <c r="A367" i="24" s="1"/>
  <c r="E366" i="24"/>
  <c r="F365" i="20"/>
  <c r="D365" i="20"/>
  <c r="D366" i="20" s="1"/>
  <c r="F366" i="15"/>
  <c r="F364" i="15"/>
  <c r="C363" i="15"/>
  <c r="D364" i="15"/>
  <c r="E373" i="24" l="1"/>
  <c r="C368" i="24"/>
  <c r="C366" i="20"/>
  <c r="D367" i="20"/>
  <c r="F372" i="20"/>
  <c r="D365" i="15"/>
  <c r="D366" i="15" s="1"/>
  <c r="F365" i="15"/>
  <c r="E369" i="24" l="1"/>
  <c r="C369" i="24"/>
  <c r="F372" i="15"/>
  <c r="F367" i="15"/>
  <c r="C366" i="15"/>
  <c r="D367" i="15"/>
  <c r="D368" i="20"/>
  <c r="F368" i="20"/>
  <c r="E370" i="24" l="1"/>
  <c r="C370" i="24"/>
  <c r="F368" i="15"/>
  <c r="D368" i="15"/>
  <c r="D369" i="20"/>
  <c r="F369" i="20"/>
  <c r="E371" i="24" l="1"/>
  <c r="C371" i="24"/>
  <c r="D370" i="20"/>
  <c r="F370" i="20"/>
  <c r="F369" i="15"/>
  <c r="D369" i="15"/>
  <c r="E372" i="24" l="1"/>
  <c r="C372" i="24"/>
  <c r="C373" i="24" s="1"/>
  <c r="A373" i="24" s="1"/>
  <c r="D370" i="15"/>
  <c r="F370" i="15"/>
  <c r="D371" i="20"/>
  <c r="D372" i="20" s="1"/>
  <c r="F371" i="20"/>
  <c r="C374" i="24" l="1"/>
  <c r="E377" i="24"/>
  <c r="C372" i="20"/>
  <c r="D373" i="20"/>
  <c r="F376" i="20"/>
  <c r="F371" i="15"/>
  <c r="D371" i="15"/>
  <c r="D372" i="15" s="1"/>
  <c r="E375" i="24" l="1"/>
  <c r="C375" i="24"/>
  <c r="F376" i="15"/>
  <c r="F373" i="15"/>
  <c r="C372" i="15"/>
  <c r="D373" i="15"/>
  <c r="D374" i="20"/>
  <c r="F374" i="20"/>
  <c r="E376" i="24" l="1"/>
  <c r="C376" i="24"/>
  <c r="C377" i="24" s="1"/>
  <c r="A377" i="24" s="1"/>
  <c r="F375" i="20"/>
  <c r="D375" i="20"/>
  <c r="D376" i="20" s="1"/>
  <c r="F374" i="15"/>
  <c r="D374" i="15"/>
  <c r="C378" i="24" l="1"/>
  <c r="E380" i="24"/>
  <c r="F375" i="15"/>
  <c r="D375" i="15"/>
  <c r="D376" i="15" s="1"/>
  <c r="C376" i="20"/>
  <c r="F379" i="20"/>
  <c r="D377" i="20"/>
  <c r="C379" i="24" l="1"/>
  <c r="C380" i="24" s="1"/>
  <c r="A380" i="24" s="1"/>
  <c r="E379" i="24"/>
  <c r="F377" i="15"/>
  <c r="C376" i="15"/>
  <c r="D377" i="15"/>
  <c r="F379" i="15"/>
  <c r="F378" i="20"/>
  <c r="D378" i="20"/>
  <c r="D379" i="20" s="1"/>
  <c r="E381" i="24" l="1"/>
  <c r="C381" i="24"/>
  <c r="A381" i="24" s="1"/>
  <c r="F378" i="15"/>
  <c r="D378" i="15"/>
  <c r="D379" i="15" s="1"/>
  <c r="D380" i="20"/>
  <c r="F380" i="20"/>
  <c r="C379" i="20"/>
  <c r="E385" i="24" l="1"/>
  <c r="C382" i="24"/>
  <c r="F384" i="20"/>
  <c r="C380" i="20"/>
  <c r="D381" i="20"/>
  <c r="C379" i="15"/>
  <c r="F380" i="15"/>
  <c r="D380" i="15"/>
  <c r="C383" i="24" l="1"/>
  <c r="E383" i="24"/>
  <c r="F382" i="20"/>
  <c r="D382" i="20"/>
  <c r="F384" i="15"/>
  <c r="D381" i="15"/>
  <c r="F381" i="15"/>
  <c r="C380" i="15"/>
  <c r="C384" i="24" l="1"/>
  <c r="C385" i="24" s="1"/>
  <c r="A385" i="24" s="1"/>
  <c r="E384" i="24"/>
  <c r="F382" i="15"/>
  <c r="D382" i="15"/>
  <c r="F383" i="20"/>
  <c r="D383" i="20"/>
  <c r="D384" i="20" s="1"/>
  <c r="C386" i="24" l="1"/>
  <c r="E389" i="24"/>
  <c r="F388" i="20"/>
  <c r="C384" i="20"/>
  <c r="D385" i="20"/>
  <c r="F383" i="15"/>
  <c r="D383" i="15"/>
  <c r="D384" i="15" s="1"/>
  <c r="C387" i="24" l="1"/>
  <c r="E387" i="24"/>
  <c r="F386" i="20"/>
  <c r="D386" i="20"/>
  <c r="F385" i="15"/>
  <c r="C384" i="15"/>
  <c r="F388" i="15"/>
  <c r="D385" i="15"/>
  <c r="E388" i="24" l="1"/>
  <c r="C388" i="24"/>
  <c r="C389" i="24" s="1"/>
  <c r="A389" i="24" s="1"/>
  <c r="F386" i="15"/>
  <c r="D386" i="15"/>
  <c r="D387" i="20"/>
  <c r="D388" i="20" s="1"/>
  <c r="F387" i="20"/>
  <c r="E393" i="24" l="1"/>
  <c r="C390" i="24"/>
  <c r="F392" i="20"/>
  <c r="D389" i="20"/>
  <c r="C388" i="20"/>
  <c r="F387" i="15"/>
  <c r="D387" i="15"/>
  <c r="D388" i="15" s="1"/>
  <c r="E391" i="24" l="1"/>
  <c r="C391" i="24"/>
  <c r="D390" i="20"/>
  <c r="F390" i="20"/>
  <c r="F392" i="15"/>
  <c r="F389" i="15"/>
  <c r="C388" i="15"/>
  <c r="D389" i="15"/>
  <c r="C392" i="24" l="1"/>
  <c r="C393" i="24" s="1"/>
  <c r="A393" i="24" s="1"/>
  <c r="E392" i="24"/>
  <c r="F390" i="15"/>
  <c r="D390" i="15"/>
  <c r="F391" i="20"/>
  <c r="D391" i="20"/>
  <c r="D392" i="20" s="1"/>
  <c r="C394" i="24" l="1"/>
  <c r="E402" i="24"/>
  <c r="F401" i="20"/>
  <c r="C392" i="20"/>
  <c r="D393" i="20"/>
  <c r="F391" i="15"/>
  <c r="D391" i="15"/>
  <c r="D392" i="15" s="1"/>
  <c r="C395" i="24" l="1"/>
  <c r="E395" i="24"/>
  <c r="F394" i="20"/>
  <c r="D394" i="20"/>
  <c r="F401" i="15"/>
  <c r="F393" i="15"/>
  <c r="C392" i="15"/>
  <c r="D393" i="15"/>
  <c r="C396" i="24" l="1"/>
  <c r="E396" i="24"/>
  <c r="F394" i="15"/>
  <c r="D394" i="15"/>
  <c r="F395" i="20"/>
  <c r="D395" i="20"/>
  <c r="C397" i="24" l="1"/>
  <c r="E397" i="24"/>
  <c r="F396" i="20"/>
  <c r="D396" i="20"/>
  <c r="F395" i="15"/>
  <c r="D395" i="15"/>
  <c r="C398" i="24" l="1"/>
  <c r="E398" i="24"/>
  <c r="F397" i="20"/>
  <c r="D397" i="20"/>
  <c r="D396" i="15"/>
  <c r="F396" i="15"/>
  <c r="E399" i="24" l="1"/>
  <c r="C399" i="24"/>
  <c r="F397" i="15"/>
  <c r="D397" i="15"/>
  <c r="D398" i="20"/>
  <c r="F398" i="20"/>
  <c r="E400" i="24" l="1"/>
  <c r="C400" i="24"/>
  <c r="D399" i="20"/>
  <c r="F399" i="20"/>
  <c r="F398" i="15"/>
  <c r="D398" i="15"/>
  <c r="E401" i="24" l="1"/>
  <c r="C401" i="24"/>
  <c r="C402" i="24" s="1"/>
  <c r="D399" i="15"/>
  <c r="F399" i="15"/>
  <c r="D400" i="20"/>
  <c r="D401" i="20" s="1"/>
  <c r="F400" i="20"/>
  <c r="E409" i="24" l="1"/>
  <c r="C403" i="24"/>
  <c r="F400" i="15"/>
  <c r="D400" i="15"/>
  <c r="D401" i="15" s="1"/>
  <c r="F408" i="20"/>
  <c r="C401" i="20"/>
  <c r="D402" i="20"/>
  <c r="E404" i="24" l="1"/>
  <c r="C404" i="24"/>
  <c r="F408" i="15"/>
  <c r="F402" i="15"/>
  <c r="C401" i="15"/>
  <c r="D402" i="15"/>
  <c r="D403" i="20"/>
  <c r="F403" i="20"/>
  <c r="E405" i="24" l="1"/>
  <c r="C405" i="24"/>
  <c r="D404" i="20"/>
  <c r="F404" i="20"/>
  <c r="D403" i="15"/>
  <c r="F403" i="15"/>
  <c r="E406" i="24" l="1"/>
  <c r="C406" i="24"/>
  <c r="F404" i="15"/>
  <c r="D404" i="15"/>
  <c r="F405" i="20"/>
  <c r="D405" i="20"/>
  <c r="E407" i="24" l="1"/>
  <c r="C407" i="24"/>
  <c r="F406" i="20"/>
  <c r="D406" i="20"/>
  <c r="F405" i="15"/>
  <c r="D405" i="15"/>
  <c r="C408" i="24" l="1"/>
  <c r="C409" i="24" s="1"/>
  <c r="A409" i="24" s="1"/>
  <c r="E408" i="24"/>
  <c r="F406" i="15"/>
  <c r="D406" i="15"/>
  <c r="F407" i="20"/>
  <c r="D407" i="20"/>
  <c r="D408" i="20" s="1"/>
  <c r="C410" i="24" l="1"/>
  <c r="C408" i="20"/>
  <c r="D409" i="20"/>
  <c r="D407" i="15"/>
  <c r="D408" i="15" s="1"/>
  <c r="F407" i="15"/>
  <c r="C411" i="24" l="1"/>
  <c r="E411" i="24"/>
  <c r="F409" i="15"/>
  <c r="C408" i="15"/>
  <c r="F412" i="15"/>
  <c r="D409" i="15"/>
  <c r="F410" i="20"/>
  <c r="D410" i="20"/>
  <c r="C412" i="24" l="1"/>
  <c r="C413" i="24" s="1"/>
  <c r="A413" i="24" s="1"/>
  <c r="E412" i="24"/>
  <c r="F410" i="15"/>
  <c r="D410" i="15"/>
  <c r="F411" i="20"/>
  <c r="D411" i="20"/>
  <c r="D412" i="20" s="1"/>
  <c r="E414" i="24" l="1"/>
  <c r="C414" i="24"/>
  <c r="F413" i="20"/>
  <c r="D413" i="20"/>
  <c r="C412" i="20"/>
  <c r="F411" i="15"/>
  <c r="D411" i="15"/>
  <c r="D412" i="15" s="1"/>
  <c r="E415" i="24" l="1"/>
  <c r="C415" i="24"/>
  <c r="C416" i="24" s="1"/>
  <c r="A416" i="24" s="1"/>
  <c r="F413" i="15"/>
  <c r="C412" i="15"/>
  <c r="D413" i="15"/>
  <c r="D414" i="20"/>
  <c r="D415" i="20" s="1"/>
  <c r="F414" i="20"/>
  <c r="C417" i="24" l="1"/>
  <c r="A417" i="24" s="1"/>
  <c r="D416" i="20"/>
  <c r="C415" i="20"/>
  <c r="F414" i="15"/>
  <c r="D414" i="15"/>
  <c r="D415" i="15" s="1"/>
  <c r="E424" i="24" l="1"/>
  <c r="E418" i="24"/>
  <c r="C418" i="24"/>
  <c r="C415" i="15"/>
  <c r="D416" i="15"/>
  <c r="F423" i="20"/>
  <c r="F417" i="20"/>
  <c r="C416" i="20"/>
  <c r="D417" i="20"/>
  <c r="E419" i="24" l="1"/>
  <c r="C419" i="24"/>
  <c r="F418" i="20"/>
  <c r="D418" i="20"/>
  <c r="F417" i="15"/>
  <c r="C416" i="15"/>
  <c r="F423" i="15"/>
  <c r="D417" i="15"/>
  <c r="C420" i="24" l="1"/>
  <c r="E420" i="24"/>
  <c r="F418" i="15"/>
  <c r="D418" i="15"/>
  <c r="F419" i="20"/>
  <c r="D419" i="20"/>
  <c r="E421" i="24" l="1"/>
  <c r="C421" i="24"/>
  <c r="F420" i="20"/>
  <c r="D420" i="20"/>
  <c r="F419" i="15"/>
  <c r="D419" i="15"/>
  <c r="E422" i="24" l="1"/>
  <c r="C422" i="24"/>
  <c r="F420" i="15"/>
  <c r="D420" i="15"/>
  <c r="D421" i="20"/>
  <c r="F421" i="20"/>
  <c r="E423" i="24" l="1"/>
  <c r="C423" i="24"/>
  <c r="C424" i="24" s="1"/>
  <c r="A424" i="24" s="1"/>
  <c r="F422" i="20"/>
  <c r="D422" i="20"/>
  <c r="D423" i="20" s="1"/>
  <c r="F421" i="15"/>
  <c r="D421" i="15"/>
  <c r="E429" i="24" l="1"/>
  <c r="C425" i="24"/>
  <c r="F422" i="15"/>
  <c r="D422" i="15"/>
  <c r="D423" i="15" s="1"/>
  <c r="F428" i="20"/>
  <c r="C423" i="20"/>
  <c r="D424" i="20"/>
  <c r="E426" i="24" l="1"/>
  <c r="C426" i="24"/>
  <c r="F425" i="20"/>
  <c r="D425" i="20"/>
  <c r="D424" i="15"/>
  <c r="F428" i="15"/>
  <c r="F424" i="15"/>
  <c r="C423" i="15"/>
  <c r="E427" i="24" l="1"/>
  <c r="C427" i="24"/>
  <c r="F425" i="15"/>
  <c r="D425" i="15"/>
  <c r="D426" i="20"/>
  <c r="F426" i="20"/>
  <c r="E428" i="24" l="1"/>
  <c r="C428" i="24"/>
  <c r="C429" i="24" s="1"/>
  <c r="A429" i="24" s="1"/>
  <c r="F427" i="20"/>
  <c r="D427" i="20"/>
  <c r="D428" i="20" s="1"/>
  <c r="F426" i="15"/>
  <c r="D426" i="15"/>
  <c r="E432" i="24" l="1"/>
  <c r="C430" i="24"/>
  <c r="F427" i="15"/>
  <c r="D427" i="15"/>
  <c r="D428" i="15" s="1"/>
  <c r="F431" i="20"/>
  <c r="C428" i="20"/>
  <c r="D429" i="20"/>
  <c r="C431" i="24" l="1"/>
  <c r="C432" i="24" s="1"/>
  <c r="A432" i="24" s="1"/>
  <c r="E431" i="24"/>
  <c r="F430" i="20"/>
  <c r="D430" i="20"/>
  <c r="D431" i="20" s="1"/>
  <c r="F429" i="15"/>
  <c r="C428" i="15"/>
  <c r="F431" i="15"/>
  <c r="D429" i="15"/>
  <c r="E439" i="24" l="1"/>
  <c r="C433" i="24"/>
  <c r="F430" i="15"/>
  <c r="D430" i="15"/>
  <c r="D431" i="15" s="1"/>
  <c r="F438" i="20"/>
  <c r="C431" i="20"/>
  <c r="D432" i="20"/>
  <c r="C434" i="24" l="1"/>
  <c r="E434" i="24"/>
  <c r="D432" i="15"/>
  <c r="F438" i="15"/>
  <c r="F432" i="15"/>
  <c r="C431" i="15"/>
  <c r="F433" i="20"/>
  <c r="D433" i="20"/>
  <c r="C435" i="24" l="1"/>
  <c r="E435" i="24"/>
  <c r="F434" i="20"/>
  <c r="D434" i="20"/>
  <c r="F433" i="15"/>
  <c r="D433" i="15"/>
  <c r="C436" i="24" l="1"/>
  <c r="E436" i="24"/>
  <c r="F434" i="15"/>
  <c r="D434" i="15"/>
  <c r="F435" i="20"/>
  <c r="D435" i="20"/>
  <c r="C437" i="24" l="1"/>
  <c r="E437" i="24"/>
  <c r="F436" i="20"/>
  <c r="D436" i="20"/>
  <c r="F435" i="15"/>
  <c r="D435" i="15"/>
  <c r="C438" i="24" l="1"/>
  <c r="C439" i="24" s="1"/>
  <c r="A439" i="24" s="1"/>
  <c r="E438" i="24"/>
  <c r="F436" i="15"/>
  <c r="D436" i="15"/>
  <c r="F437" i="20"/>
  <c r="D437" i="20"/>
  <c r="D438" i="20" s="1"/>
  <c r="E441" i="24" l="1"/>
  <c r="C440" i="24"/>
  <c r="C441" i="24" s="1"/>
  <c r="A441" i="24" s="1"/>
  <c r="C438" i="20"/>
  <c r="D439" i="20"/>
  <c r="D440" i="20" s="1"/>
  <c r="F440" i="20"/>
  <c r="F437" i="15"/>
  <c r="D437" i="15"/>
  <c r="D438" i="15" s="1"/>
  <c r="E445" i="24" l="1"/>
  <c r="C442" i="24"/>
  <c r="C440" i="20"/>
  <c r="D441" i="20"/>
  <c r="F444" i="20"/>
  <c r="F439" i="15"/>
  <c r="C438" i="15"/>
  <c r="D439" i="15"/>
  <c r="D440" i="15" s="1"/>
  <c r="F440" i="15"/>
  <c r="C443" i="24" l="1"/>
  <c r="E443" i="24"/>
  <c r="F444" i="15"/>
  <c r="F441" i="15"/>
  <c r="C440" i="15"/>
  <c r="D441" i="15"/>
  <c r="F442" i="20"/>
  <c r="D442" i="20"/>
  <c r="C444" i="24" l="1"/>
  <c r="C445" i="24" s="1"/>
  <c r="A445" i="24" s="1"/>
  <c r="E444" i="24"/>
  <c r="F442" i="15"/>
  <c r="D442" i="15"/>
  <c r="F443" i="20"/>
  <c r="D443" i="20"/>
  <c r="D444" i="20" s="1"/>
  <c r="E451" i="24" l="1"/>
  <c r="C446" i="24"/>
  <c r="C444" i="20"/>
  <c r="D445" i="20"/>
  <c r="F450" i="20"/>
  <c r="D443" i="15"/>
  <c r="D444" i="15" s="1"/>
  <c r="F443" i="15"/>
  <c r="E447" i="24" l="1"/>
  <c r="C447" i="24"/>
  <c r="D445" i="15"/>
  <c r="F450" i="15"/>
  <c r="F445" i="15"/>
  <c r="C444" i="15"/>
  <c r="D446" i="20"/>
  <c r="F446" i="20"/>
  <c r="E448" i="24" l="1"/>
  <c r="C448" i="24"/>
  <c r="D447" i="20"/>
  <c r="F447" i="20"/>
  <c r="F446" i="15"/>
  <c r="D446" i="15"/>
  <c r="E449" i="24" l="1"/>
  <c r="C449" i="24"/>
  <c r="D447" i="15"/>
  <c r="F447" i="15"/>
  <c r="D448" i="20"/>
  <c r="F448" i="20"/>
  <c r="E450" i="24" l="1"/>
  <c r="C450" i="24"/>
  <c r="C451" i="24" s="1"/>
  <c r="A451" i="24" s="1"/>
  <c r="D449" i="20"/>
  <c r="D450" i="20" s="1"/>
  <c r="F449" i="20"/>
  <c r="F448" i="15"/>
  <c r="D448" i="15"/>
  <c r="C452" i="24" l="1"/>
  <c r="E456" i="24"/>
  <c r="F449" i="15"/>
  <c r="D449" i="15"/>
  <c r="D450" i="15" s="1"/>
  <c r="C450" i="20"/>
  <c r="D451" i="20"/>
  <c r="F455" i="20"/>
  <c r="C453" i="24" l="1"/>
  <c r="E453" i="24"/>
  <c r="F452" i="20"/>
  <c r="D452" i="20"/>
  <c r="D451" i="15"/>
  <c r="F455" i="15"/>
  <c r="F451" i="15"/>
  <c r="C450" i="15"/>
  <c r="E454" i="24" l="1"/>
  <c r="C454" i="24"/>
  <c r="D452" i="15"/>
  <c r="F452" i="15"/>
  <c r="D453" i="20"/>
  <c r="F453" i="20"/>
  <c r="E455" i="24" l="1"/>
  <c r="C455" i="24"/>
  <c r="C456" i="24" s="1"/>
  <c r="A456" i="24" s="1"/>
  <c r="D454" i="20"/>
  <c r="D455" i="20" s="1"/>
  <c r="F454" i="20"/>
  <c r="D453" i="15"/>
  <c r="F453" i="15"/>
  <c r="E462" i="24" l="1"/>
  <c r="C457" i="24"/>
  <c r="F454" i="15"/>
  <c r="D454" i="15"/>
  <c r="D455" i="15" s="1"/>
  <c r="C455" i="20"/>
  <c r="F461" i="20" s="1"/>
  <c r="D456" i="20"/>
  <c r="C458" i="24" l="1"/>
  <c r="E458" i="24"/>
  <c r="F457" i="20"/>
  <c r="D457" i="20"/>
  <c r="D456" i="15"/>
  <c r="F461" i="15"/>
  <c r="F456" i="15"/>
  <c r="C455" i="15"/>
  <c r="E459" i="24" l="1"/>
  <c r="C459" i="24"/>
  <c r="F457" i="15"/>
  <c r="D457" i="15"/>
  <c r="F458" i="20"/>
  <c r="D458" i="20"/>
  <c r="E460" i="24" l="1"/>
  <c r="C460" i="24"/>
  <c r="F459" i="20"/>
  <c r="D459" i="20"/>
  <c r="D458" i="15"/>
  <c r="F458" i="15"/>
  <c r="E461" i="24" l="1"/>
  <c r="C461" i="24"/>
  <c r="C462" i="24" s="1"/>
  <c r="A462" i="24" s="1"/>
  <c r="F459" i="15"/>
  <c r="D459" i="15"/>
  <c r="F460" i="20"/>
  <c r="D460" i="20"/>
  <c r="D461" i="20" s="1"/>
  <c r="E464" i="24" l="1"/>
  <c r="C463" i="24"/>
  <c r="C464" i="24" s="1"/>
  <c r="A464" i="24" s="1"/>
  <c r="F460" i="15"/>
  <c r="D460" i="15"/>
  <c r="D461" i="15" s="1"/>
  <c r="C461" i="20"/>
  <c r="F463" i="20" s="1"/>
  <c r="D462" i="20"/>
  <c r="D463" i="20" s="1"/>
  <c r="E467" i="24" l="1"/>
  <c r="C465" i="24"/>
  <c r="C463" i="20"/>
  <c r="F466" i="20" s="1"/>
  <c r="D464" i="20"/>
  <c r="D462" i="15"/>
  <c r="D463" i="15" s="1"/>
  <c r="F463" i="15"/>
  <c r="F462" i="15"/>
  <c r="C461" i="15"/>
  <c r="E466" i="24" l="1"/>
  <c r="C466" i="24"/>
  <c r="C467" i="24" s="1"/>
  <c r="A467" i="24" s="1"/>
  <c r="F466" i="15"/>
  <c r="D464" i="15"/>
  <c r="F464" i="15"/>
  <c r="C463" i="15"/>
  <c r="F465" i="20"/>
  <c r="D465" i="20"/>
  <c r="D466" i="20" s="1"/>
  <c r="C468" i="24" l="1"/>
  <c r="E470" i="24"/>
  <c r="D467" i="20"/>
  <c r="C466" i="20"/>
  <c r="F469" i="20" s="1"/>
  <c r="F465" i="15"/>
  <c r="D465" i="15"/>
  <c r="D466" i="15" s="1"/>
  <c r="E469" i="24" l="1"/>
  <c r="C469" i="24"/>
  <c r="C470" i="24" s="1"/>
  <c r="A470" i="24" s="1"/>
  <c r="F467" i="15"/>
  <c r="C466" i="15"/>
  <c r="F469" i="15"/>
  <c r="D467" i="15"/>
  <c r="F468" i="20"/>
  <c r="D468" i="20"/>
  <c r="D469" i="20" s="1"/>
  <c r="E473" i="24" l="1"/>
  <c r="C471" i="24"/>
  <c r="F468" i="15"/>
  <c r="D468" i="15"/>
  <c r="D469" i="15" s="1"/>
  <c r="C469" i="20"/>
  <c r="F472" i="20" s="1"/>
  <c r="D470" i="20"/>
  <c r="C472" i="24" l="1"/>
  <c r="C473" i="24" s="1"/>
  <c r="A473" i="24" s="1"/>
  <c r="E472" i="24"/>
  <c r="D471" i="20"/>
  <c r="D472" i="20" s="1"/>
  <c r="F471" i="20"/>
  <c r="F472" i="15"/>
  <c r="F470" i="15"/>
  <c r="C469" i="15"/>
  <c r="D470" i="15"/>
  <c r="E476" i="24" l="1"/>
  <c r="C474" i="24"/>
  <c r="D471" i="15"/>
  <c r="D472" i="15" s="1"/>
  <c r="F471" i="15"/>
  <c r="C472" i="20"/>
  <c r="F475" i="20" s="1"/>
  <c r="D473" i="20"/>
  <c r="E475" i="24" l="1"/>
  <c r="C475" i="24"/>
  <c r="C476" i="24" s="1"/>
  <c r="A476" i="24" s="1"/>
  <c r="F474" i="20"/>
  <c r="D474" i="20"/>
  <c r="D475" i="20" s="1"/>
  <c r="F473" i="15"/>
  <c r="C472" i="15"/>
  <c r="F475" i="15"/>
  <c r="D473" i="15"/>
  <c r="C477" i="24" l="1"/>
  <c r="E479" i="24"/>
  <c r="F474" i="15"/>
  <c r="D474" i="15"/>
  <c r="D475" i="15" s="1"/>
  <c r="D476" i="20"/>
  <c r="C475" i="20"/>
  <c r="F478" i="20" s="1"/>
  <c r="C478" i="24" l="1"/>
  <c r="C479" i="24" s="1"/>
  <c r="A479" i="24" s="1"/>
  <c r="E478" i="24"/>
  <c r="D477" i="20"/>
  <c r="D478" i="20" s="1"/>
  <c r="F477" i="20"/>
  <c r="F478" i="15"/>
  <c r="F476" i="15"/>
  <c r="C475" i="15"/>
  <c r="D476" i="15"/>
  <c r="C480" i="24" l="1"/>
  <c r="E489" i="24"/>
  <c r="F477" i="15"/>
  <c r="D477" i="15"/>
  <c r="D478" i="15" s="1"/>
  <c r="D479" i="20"/>
  <c r="C478" i="20"/>
  <c r="F488" i="20" s="1"/>
  <c r="C481" i="24" l="1"/>
  <c r="E481" i="24"/>
  <c r="D480" i="20"/>
  <c r="F480" i="20"/>
  <c r="F488" i="15"/>
  <c r="F479" i="15"/>
  <c r="C478" i="15"/>
  <c r="D479" i="15"/>
  <c r="E482" i="24" l="1"/>
  <c r="C482" i="24"/>
  <c r="F481" i="20"/>
  <c r="D481" i="20"/>
  <c r="F480" i="15"/>
  <c r="D480" i="15"/>
  <c r="E483" i="24" l="1"/>
  <c r="C483" i="24"/>
  <c r="F481" i="15"/>
  <c r="D481" i="15"/>
  <c r="F482" i="20"/>
  <c r="D482" i="20"/>
  <c r="E484" i="24" l="1"/>
  <c r="C484" i="24"/>
  <c r="F483" i="20"/>
  <c r="D483" i="20"/>
  <c r="F482" i="15"/>
  <c r="D482" i="15"/>
  <c r="E485" i="24" l="1"/>
  <c r="C485" i="24"/>
  <c r="F483" i="15"/>
  <c r="D483" i="15"/>
  <c r="F484" i="20"/>
  <c r="D484" i="20"/>
  <c r="E486" i="24" l="1"/>
  <c r="C486" i="24"/>
  <c r="F485" i="20"/>
  <c r="D485" i="20"/>
  <c r="F484" i="15"/>
  <c r="D484" i="15"/>
  <c r="E487" i="24" l="1"/>
  <c r="C487" i="24"/>
  <c r="F485" i="15"/>
  <c r="D485" i="15"/>
  <c r="F486" i="20"/>
  <c r="D486" i="20"/>
  <c r="E488" i="24" l="1"/>
  <c r="C488" i="24"/>
  <c r="C489" i="24" s="1"/>
  <c r="A489" i="24" s="1"/>
  <c r="F487" i="20"/>
  <c r="D487" i="20"/>
  <c r="D488" i="20" s="1"/>
  <c r="F486" i="15"/>
  <c r="D486" i="15"/>
  <c r="E492" i="24" l="1"/>
  <c r="C490" i="24"/>
  <c r="D487" i="15"/>
  <c r="D488" i="15" s="1"/>
  <c r="F487" i="15"/>
  <c r="C488" i="20"/>
  <c r="F491" i="20" s="1"/>
  <c r="D489" i="20"/>
  <c r="C491" i="24" l="1"/>
  <c r="C492" i="24" s="1"/>
  <c r="A492" i="24" s="1"/>
  <c r="E491" i="24"/>
  <c r="D490" i="20"/>
  <c r="D491" i="20" s="1"/>
  <c r="F490" i="20"/>
  <c r="F491" i="15"/>
  <c r="D489" i="15"/>
  <c r="F489" i="15"/>
  <c r="C488" i="15"/>
  <c r="C493" i="24" l="1"/>
  <c r="E495" i="24"/>
  <c r="F490" i="15"/>
  <c r="D490" i="15"/>
  <c r="D491" i="15" s="1"/>
  <c r="D492" i="20"/>
  <c r="C491" i="20"/>
  <c r="F494" i="20" s="1"/>
  <c r="E494" i="24" l="1"/>
  <c r="C494" i="24"/>
  <c r="C495" i="24" s="1"/>
  <c r="A495" i="24" s="1"/>
  <c r="F493" i="20"/>
  <c r="D493" i="20"/>
  <c r="D494" i="20" s="1"/>
  <c r="F494" i="15"/>
  <c r="F492" i="15"/>
  <c r="C491" i="15"/>
  <c r="D492" i="15"/>
  <c r="C496" i="24" l="1"/>
  <c r="E499" i="24"/>
  <c r="F493" i="15"/>
  <c r="D493" i="15"/>
  <c r="D494" i="15" s="1"/>
  <c r="D495" i="20"/>
  <c r="C494" i="20"/>
  <c r="F498" i="20" s="1"/>
  <c r="C497" i="24" l="1"/>
  <c r="E497" i="24"/>
  <c r="D496" i="20"/>
  <c r="F496" i="20"/>
  <c r="F495" i="15"/>
  <c r="C494" i="15"/>
  <c r="F498" i="15"/>
  <c r="D495" i="15"/>
  <c r="C498" i="24" l="1"/>
  <c r="C499" i="24" s="1"/>
  <c r="A499" i="24" s="1"/>
  <c r="E498" i="24"/>
  <c r="F497" i="20"/>
  <c r="D497" i="20"/>
  <c r="D498" i="20" s="1"/>
  <c r="F496" i="15"/>
  <c r="D496" i="15"/>
  <c r="C500" i="24" l="1"/>
  <c r="F497" i="15"/>
  <c r="D497" i="15"/>
  <c r="D498" i="15" s="1"/>
  <c r="C498" i="20"/>
  <c r="D499" i="20"/>
  <c r="E501" i="24" l="1"/>
  <c r="C501" i="24"/>
  <c r="C502" i="24" s="1"/>
  <c r="A502" i="24" s="1"/>
  <c r="F500" i="20"/>
  <c r="D500" i="20"/>
  <c r="D501" i="20" s="1"/>
  <c r="F499" i="15"/>
  <c r="C498" i="15"/>
  <c r="D499" i="15"/>
  <c r="F501" i="15"/>
  <c r="C503" i="24" l="1"/>
  <c r="A503" i="24" s="1"/>
  <c r="C501" i="20"/>
  <c r="D502" i="20"/>
  <c r="F500" i="15"/>
  <c r="D500" i="15"/>
  <c r="D501" i="15" s="1"/>
  <c r="C504" i="24" l="1"/>
  <c r="E510" i="24"/>
  <c r="D502" i="15"/>
  <c r="C501" i="15"/>
  <c r="D503" i="20"/>
  <c r="C502" i="20"/>
  <c r="F509" i="20" s="1"/>
  <c r="E505" i="24" l="1"/>
  <c r="C505" i="24"/>
  <c r="F504" i="20"/>
  <c r="D504" i="20"/>
  <c r="F503" i="15"/>
  <c r="D503" i="15"/>
  <c r="C502" i="15"/>
  <c r="F509" i="15"/>
  <c r="C506" i="24" l="1"/>
  <c r="E506" i="24"/>
  <c r="F504" i="15"/>
  <c r="D504" i="15"/>
  <c r="D505" i="20"/>
  <c r="F505" i="20"/>
  <c r="C507" i="24" l="1"/>
  <c r="E507" i="24"/>
  <c r="D506" i="20"/>
  <c r="F506" i="20"/>
  <c r="F505" i="15"/>
  <c r="D505" i="15"/>
  <c r="C508" i="24" l="1"/>
  <c r="E508" i="24"/>
  <c r="F506" i="15"/>
  <c r="D506" i="15"/>
  <c r="D507" i="20"/>
  <c r="F507" i="20"/>
  <c r="C509" i="24" l="1"/>
  <c r="C510" i="24" s="1"/>
  <c r="A510" i="24" s="1"/>
  <c r="E509" i="24"/>
  <c r="F507" i="15"/>
  <c r="D507" i="15"/>
  <c r="D508" i="20"/>
  <c r="D509" i="20" s="1"/>
  <c r="F508" i="20"/>
  <c r="E515" i="24" l="1"/>
  <c r="C511" i="24"/>
  <c r="C509" i="20"/>
  <c r="F514" i="20" s="1"/>
  <c r="D510" i="20"/>
  <c r="D508" i="15"/>
  <c r="D509" i="15" s="1"/>
  <c r="F508" i="15"/>
  <c r="C512" i="24" l="1"/>
  <c r="E512" i="24"/>
  <c r="F514" i="15"/>
  <c r="F510" i="15"/>
  <c r="C509" i="15"/>
  <c r="D510" i="15"/>
  <c r="D511" i="20"/>
  <c r="F511" i="20"/>
  <c r="E513" i="24" l="1"/>
  <c r="C513" i="24"/>
  <c r="F512" i="20"/>
  <c r="D512" i="20"/>
  <c r="F511" i="15"/>
  <c r="D511" i="15"/>
  <c r="E514" i="24" l="1"/>
  <c r="C514" i="24"/>
  <c r="C515" i="24" s="1"/>
  <c r="A515" i="24" s="1"/>
  <c r="F512" i="15"/>
  <c r="D512" i="15"/>
  <c r="F513" i="20"/>
  <c r="D513" i="20"/>
  <c r="D514" i="20" s="1"/>
  <c r="C516" i="24" l="1"/>
  <c r="E518" i="24"/>
  <c r="D515" i="20"/>
  <c r="C514" i="20"/>
  <c r="F517" i="20" s="1"/>
  <c r="F513" i="15"/>
  <c r="D513" i="15"/>
  <c r="D514" i="15" s="1"/>
  <c r="C517" i="24" l="1"/>
  <c r="C518" i="24" s="1"/>
  <c r="A518" i="24" s="1"/>
  <c r="E517" i="24"/>
  <c r="D516" i="20"/>
  <c r="D517" i="20" s="1"/>
  <c r="F516" i="20"/>
  <c r="D515" i="15"/>
  <c r="F517" i="15"/>
  <c r="F515" i="15"/>
  <c r="C514" i="15"/>
  <c r="C519" i="24" l="1"/>
  <c r="D518" i="20"/>
  <c r="C517" i="20"/>
  <c r="D516" i="15"/>
  <c r="D517" i="15" s="1"/>
  <c r="F516" i="15"/>
  <c r="E520" i="24" l="1"/>
  <c r="C520" i="24"/>
  <c r="F519" i="20"/>
  <c r="D519" i="20"/>
  <c r="F524" i="15"/>
  <c r="F518" i="15"/>
  <c r="C517" i="15"/>
  <c r="D518" i="15"/>
  <c r="E521" i="24" l="1"/>
  <c r="C521" i="24"/>
  <c r="F519" i="15"/>
  <c r="D519" i="15"/>
  <c r="F520" i="20"/>
  <c r="D520" i="20"/>
  <c r="E522" i="24" l="1"/>
  <c r="C522" i="24"/>
  <c r="D520" i="15"/>
  <c r="F520" i="15"/>
  <c r="F521" i="20"/>
  <c r="D521" i="20"/>
  <c r="E523" i="24" l="1"/>
  <c r="C523" i="24"/>
  <c r="F522" i="20"/>
  <c r="D522" i="20"/>
  <c r="F521" i="15"/>
  <c r="D521" i="15"/>
  <c r="E524" i="24" l="1"/>
  <c r="C524" i="24"/>
  <c r="C525" i="24" s="1"/>
  <c r="A525" i="24" s="1"/>
  <c r="F522" i="15"/>
  <c r="D522" i="15"/>
  <c r="F523" i="20"/>
  <c r="D523" i="20"/>
  <c r="D524" i="20" s="1"/>
  <c r="E527" i="24" l="1"/>
  <c r="C526" i="24"/>
  <c r="C527" i="24" s="1"/>
  <c r="A527" i="24" s="1"/>
  <c r="C524" i="20"/>
  <c r="F526" i="20" s="1"/>
  <c r="D525" i="20"/>
  <c r="D526" i="20" s="1"/>
  <c r="F523" i="15"/>
  <c r="D523" i="15"/>
  <c r="D524" i="15" s="1"/>
  <c r="E531" i="24" l="1"/>
  <c r="C528" i="24"/>
  <c r="F526" i="15"/>
  <c r="F525" i="15"/>
  <c r="C524" i="15"/>
  <c r="D525" i="15"/>
  <c r="D526" i="15" s="1"/>
  <c r="C526" i="20"/>
  <c r="F530" i="20" s="1"/>
  <c r="D527" i="20"/>
  <c r="E529" i="24" l="1"/>
  <c r="C529" i="24"/>
  <c r="F530" i="15"/>
  <c r="F527" i="15"/>
  <c r="C526" i="15"/>
  <c r="D527" i="15"/>
  <c r="F528" i="20"/>
  <c r="D528" i="20"/>
  <c r="E530" i="24" l="1"/>
  <c r="C530" i="24"/>
  <c r="C531" i="24" s="1"/>
  <c r="A531" i="24" s="1"/>
  <c r="D528" i="15"/>
  <c r="F528" i="15"/>
  <c r="F529" i="20"/>
  <c r="D529" i="20"/>
  <c r="D530" i="20" s="1"/>
  <c r="E537" i="24" l="1"/>
  <c r="C532" i="24"/>
  <c r="F529" i="15"/>
  <c r="D529" i="15"/>
  <c r="D530" i="15" s="1"/>
  <c r="C530" i="20"/>
  <c r="F536" i="20" s="1"/>
  <c r="D531" i="20"/>
  <c r="C533" i="24" l="1"/>
  <c r="E533" i="24"/>
  <c r="D532" i="20"/>
  <c r="F532" i="20"/>
  <c r="D531" i="15"/>
  <c r="F536" i="15"/>
  <c r="F531" i="15"/>
  <c r="C530" i="15"/>
  <c r="C534" i="24" l="1"/>
  <c r="E534" i="24"/>
  <c r="F532" i="15"/>
  <c r="D532" i="15"/>
  <c r="D533" i="20"/>
  <c r="F533" i="20"/>
  <c r="C535" i="24" l="1"/>
  <c r="E535" i="24"/>
  <c r="D534" i="20"/>
  <c r="F534" i="20"/>
  <c r="D533" i="15"/>
  <c r="F533" i="15"/>
  <c r="C536" i="24" l="1"/>
  <c r="C537" i="24" s="1"/>
  <c r="A537" i="24" s="1"/>
  <c r="E536" i="24"/>
  <c r="F534" i="15"/>
  <c r="D534" i="15"/>
  <c r="D535" i="20"/>
  <c r="D536" i="20" s="1"/>
  <c r="F535" i="20"/>
  <c r="C538" i="24" l="1"/>
  <c r="E542" i="24"/>
  <c r="E538" i="24"/>
  <c r="D537" i="20"/>
  <c r="C536" i="20"/>
  <c r="F541" i="20" s="1"/>
  <c r="F537" i="20"/>
  <c r="F535" i="15"/>
  <c r="D535" i="15"/>
  <c r="D536" i="15" s="1"/>
  <c r="C539" i="24" l="1"/>
  <c r="E539" i="24"/>
  <c r="F541" i="15"/>
  <c r="D537" i="15"/>
  <c r="F537" i="15"/>
  <c r="C536" i="15"/>
  <c r="D538" i="20"/>
  <c r="F538" i="20"/>
  <c r="C540" i="24" l="1"/>
  <c r="E540" i="24"/>
  <c r="F538" i="15"/>
  <c r="D538" i="15"/>
  <c r="D539" i="20"/>
  <c r="F539" i="20"/>
  <c r="E541" i="24" l="1"/>
  <c r="C541" i="24"/>
  <c r="C542" i="24" s="1"/>
  <c r="A542" i="24" s="1"/>
  <c r="F539" i="15"/>
  <c r="D539" i="15"/>
  <c r="F540" i="20"/>
  <c r="D540" i="20"/>
  <c r="D541" i="20" s="1"/>
  <c r="C543" i="24" l="1"/>
  <c r="E548" i="24"/>
  <c r="C541" i="20"/>
  <c r="F547" i="20" s="1"/>
  <c r="D542" i="20"/>
  <c r="D540" i="15"/>
  <c r="D541" i="15" s="1"/>
  <c r="F540" i="15"/>
  <c r="E544" i="24" l="1"/>
  <c r="C544" i="24"/>
  <c r="F547" i="15"/>
  <c r="F542" i="15"/>
  <c r="C541" i="15"/>
  <c r="D542" i="15"/>
  <c r="F543" i="20"/>
  <c r="D543" i="20"/>
  <c r="E545" i="24" l="1"/>
  <c r="C545" i="24"/>
  <c r="F543" i="15"/>
  <c r="D543" i="15"/>
  <c r="F544" i="20"/>
  <c r="D544" i="20"/>
  <c r="E546" i="24" l="1"/>
  <c r="C546" i="24"/>
  <c r="F545" i="20"/>
  <c r="D545" i="20"/>
  <c r="F544" i="15"/>
  <c r="D544" i="15"/>
  <c r="E547" i="24" l="1"/>
  <c r="C547" i="24"/>
  <c r="C548" i="24" s="1"/>
  <c r="A548" i="24" s="1"/>
  <c r="D545" i="15"/>
  <c r="F545" i="15"/>
  <c r="F546" i="20"/>
  <c r="D546" i="20"/>
  <c r="D547" i="20" s="1"/>
  <c r="E550" i="24" l="1"/>
  <c r="C549" i="24"/>
  <c r="C550" i="24" s="1"/>
  <c r="A550" i="24" s="1"/>
  <c r="F549" i="20"/>
  <c r="C547" i="20"/>
  <c r="D548" i="20"/>
  <c r="D549" i="20" s="1"/>
  <c r="F546" i="15"/>
  <c r="D546" i="15"/>
  <c r="D547" i="15" s="1"/>
  <c r="C551" i="24" l="1"/>
  <c r="E553" i="24"/>
  <c r="F549" i="15"/>
  <c r="F548" i="15"/>
  <c r="C547" i="15"/>
  <c r="D548" i="15"/>
  <c r="D549" i="15" s="1"/>
  <c r="D550" i="20"/>
  <c r="F552" i="20"/>
  <c r="C549" i="20"/>
  <c r="E552" i="24" l="1"/>
  <c r="C552" i="24"/>
  <c r="C553" i="24" s="1"/>
  <c r="A553" i="24" s="1"/>
  <c r="F551" i="20"/>
  <c r="D551" i="20"/>
  <c r="D552" i="20" s="1"/>
  <c r="F552" i="15"/>
  <c r="D550" i="15"/>
  <c r="F550" i="15"/>
  <c r="C549" i="15"/>
  <c r="C554" i="24" l="1"/>
  <c r="E556" i="24"/>
  <c r="F551" i="15"/>
  <c r="D551" i="15"/>
  <c r="D552" i="15" s="1"/>
  <c r="C552" i="20"/>
  <c r="D553" i="20"/>
  <c r="F555" i="20"/>
  <c r="E555" i="24" l="1"/>
  <c r="C555" i="24"/>
  <c r="C556" i="24" s="1"/>
  <c r="A556" i="24" s="1"/>
  <c r="F554" i="20"/>
  <c r="D554" i="20"/>
  <c r="D555" i="20" s="1"/>
  <c r="F555" i="15"/>
  <c r="F553" i="15"/>
  <c r="C552" i="15"/>
  <c r="D553" i="15"/>
  <c r="C557" i="24" l="1"/>
  <c r="E559" i="24"/>
  <c r="F554" i="15"/>
  <c r="D554" i="15"/>
  <c r="D555" i="15" s="1"/>
  <c r="C555" i="20"/>
  <c r="D556" i="20"/>
  <c r="F558" i="20"/>
  <c r="E558" i="24" l="1"/>
  <c r="C558" i="24"/>
  <c r="C559" i="24" s="1"/>
  <c r="A559" i="24" s="1"/>
  <c r="F557" i="20"/>
  <c r="D557" i="20"/>
  <c r="D558" i="20" s="1"/>
  <c r="D556" i="15"/>
  <c r="F558" i="15"/>
  <c r="F556" i="15"/>
  <c r="C555" i="15"/>
  <c r="E562" i="24" l="1"/>
  <c r="C560" i="24"/>
  <c r="D557" i="15"/>
  <c r="D558" i="15" s="1"/>
  <c r="F557" i="15"/>
  <c r="F561" i="20"/>
  <c r="C558" i="20"/>
  <c r="D559" i="20"/>
  <c r="E561" i="24" l="1"/>
  <c r="C561" i="24"/>
  <c r="C562" i="24" s="1"/>
  <c r="A562" i="24" s="1"/>
  <c r="F560" i="20"/>
  <c r="D560" i="20"/>
  <c r="D561" i="20" s="1"/>
  <c r="F561" i="15"/>
  <c r="F559" i="15"/>
  <c r="C558" i="15"/>
  <c r="D559" i="15"/>
  <c r="E565" i="24" l="1"/>
  <c r="C563" i="24"/>
  <c r="D560" i="15"/>
  <c r="D561" i="15" s="1"/>
  <c r="F560" i="15"/>
  <c r="F564" i="20"/>
  <c r="C561" i="20"/>
  <c r="D562" i="20"/>
  <c r="E564" i="24" l="1"/>
  <c r="C564" i="24"/>
  <c r="C565" i="24" s="1"/>
  <c r="A565" i="24" s="1"/>
  <c r="F563" i="20"/>
  <c r="D563" i="20"/>
  <c r="D564" i="20" s="1"/>
  <c r="F562" i="15"/>
  <c r="C561" i="15"/>
  <c r="F564" i="15"/>
  <c r="D562" i="15"/>
  <c r="E572" i="24" l="1"/>
  <c r="C566" i="24"/>
  <c r="F563" i="15"/>
  <c r="D563" i="15"/>
  <c r="D564" i="15" s="1"/>
  <c r="C564" i="20"/>
  <c r="F571" i="20"/>
  <c r="D565" i="20"/>
  <c r="C567" i="24" l="1"/>
  <c r="E567" i="24"/>
  <c r="F565" i="15"/>
  <c r="C564" i="15"/>
  <c r="D565" i="15"/>
  <c r="F571" i="15"/>
  <c r="D566" i="20"/>
  <c r="F566" i="20"/>
  <c r="E568" i="24" l="1"/>
  <c r="C568" i="24"/>
  <c r="F567" i="20"/>
  <c r="D567" i="20"/>
  <c r="F566" i="15"/>
  <c r="D566" i="15"/>
  <c r="E569" i="24" l="1"/>
  <c r="C569" i="24"/>
  <c r="F567" i="15"/>
  <c r="D567" i="15"/>
  <c r="F568" i="20"/>
  <c r="D568" i="20"/>
  <c r="E570" i="24" l="1"/>
  <c r="C570" i="24"/>
  <c r="F569" i="20"/>
  <c r="D569" i="20"/>
  <c r="D568" i="15"/>
  <c r="F568" i="15"/>
  <c r="E571" i="24" l="1"/>
  <c r="C571" i="24"/>
  <c r="C572" i="24" s="1"/>
  <c r="A572" i="24" s="1"/>
  <c r="F569" i="15"/>
  <c r="D569" i="15"/>
  <c r="F570" i="20"/>
  <c r="D570" i="20"/>
  <c r="D571" i="20" s="1"/>
  <c r="C573" i="24" l="1"/>
  <c r="D572" i="20"/>
  <c r="C571" i="20"/>
  <c r="D570" i="15"/>
  <c r="D571" i="15" s="1"/>
  <c r="F570" i="15"/>
  <c r="E574" i="24" l="1"/>
  <c r="C574" i="24"/>
  <c r="C575" i="24" s="1"/>
  <c r="A575" i="24" s="1"/>
  <c r="F573" i="20"/>
  <c r="D573" i="20"/>
  <c r="D574" i="20" s="1"/>
  <c r="F572" i="15"/>
  <c r="C571" i="15"/>
  <c r="D572" i="15"/>
  <c r="C576" i="24" l="1"/>
  <c r="A576" i="24" s="1"/>
  <c r="C574" i="20"/>
  <c r="D575" i="20"/>
  <c r="D573" i="15"/>
  <c r="D574" i="15" s="1"/>
  <c r="F573" i="15"/>
  <c r="E582" i="24" l="1"/>
  <c r="C577" i="24"/>
  <c r="D575" i="15"/>
  <c r="C574" i="15"/>
  <c r="F581" i="20"/>
  <c r="C575" i="20"/>
  <c r="D576" i="20"/>
  <c r="C578" i="24" l="1"/>
  <c r="E578" i="24"/>
  <c r="F577" i="20"/>
  <c r="D577" i="20"/>
  <c r="F581" i="15"/>
  <c r="F576" i="15"/>
  <c r="C575" i="15"/>
  <c r="D576" i="15"/>
  <c r="E579" i="24" l="1"/>
  <c r="C579" i="24"/>
  <c r="F577" i="15"/>
  <c r="D577" i="15"/>
  <c r="D578" i="20"/>
  <c r="F578" i="20"/>
  <c r="C580" i="24" l="1"/>
  <c r="E580" i="24"/>
  <c r="F579" i="20"/>
  <c r="D579" i="20"/>
  <c r="D578" i="15"/>
  <c r="F578" i="15"/>
  <c r="E581" i="24" l="1"/>
  <c r="C581" i="24"/>
  <c r="C582" i="24" s="1"/>
  <c r="A582" i="24" s="1"/>
  <c r="D579" i="15"/>
  <c r="F579" i="15"/>
  <c r="D580" i="20"/>
  <c r="D581" i="20" s="1"/>
  <c r="F580" i="20"/>
  <c r="C583" i="24" l="1"/>
  <c r="E585" i="24"/>
  <c r="C581" i="20"/>
  <c r="D582" i="20"/>
  <c r="F584" i="20"/>
  <c r="F580" i="15"/>
  <c r="D580" i="15"/>
  <c r="D581" i="15" s="1"/>
  <c r="C584" i="24" l="1"/>
  <c r="C585" i="24" s="1"/>
  <c r="A585" i="24" s="1"/>
  <c r="E584" i="24"/>
  <c r="F584" i="15"/>
  <c r="D582" i="15"/>
  <c r="F582" i="15"/>
  <c r="C581" i="15"/>
  <c r="F583" i="20"/>
  <c r="D583" i="20"/>
  <c r="D584" i="20" s="1"/>
  <c r="E588" i="24" l="1"/>
  <c r="C586" i="24"/>
  <c r="F587" i="20"/>
  <c r="C584" i="20"/>
  <c r="D585" i="20"/>
  <c r="F583" i="15"/>
  <c r="D583" i="15"/>
  <c r="D584" i="15" s="1"/>
  <c r="C587" i="24" l="1"/>
  <c r="C588" i="24" s="1"/>
  <c r="A588" i="24" s="1"/>
  <c r="E587" i="24"/>
  <c r="F586" i="20"/>
  <c r="D586" i="20"/>
  <c r="D587" i="20" s="1"/>
  <c r="C584" i="15"/>
  <c r="F585" i="15"/>
  <c r="D585" i="15"/>
  <c r="F587" i="15"/>
  <c r="C589" i="24" l="1"/>
  <c r="C590" i="24" s="1"/>
  <c r="A590" i="24" s="1"/>
  <c r="E590" i="24"/>
  <c r="F589" i="20"/>
  <c r="C587" i="20"/>
  <c r="D588" i="20"/>
  <c r="D589" i="20" s="1"/>
  <c r="F586" i="15"/>
  <c r="D586" i="15"/>
  <c r="D587" i="15" s="1"/>
  <c r="E592" i="24" l="1"/>
  <c r="C591" i="24"/>
  <c r="C592" i="24" s="1"/>
  <c r="A592" i="24" s="1"/>
  <c r="F589" i="15"/>
  <c r="F588" i="15"/>
  <c r="C587" i="15"/>
  <c r="D588" i="15"/>
  <c r="D589" i="15" s="1"/>
  <c r="C589" i="20"/>
  <c r="D590" i="20"/>
  <c r="D591" i="20" s="1"/>
  <c r="F591" i="20"/>
  <c r="E598" i="24" l="1"/>
  <c r="C593" i="24"/>
  <c r="D590" i="15"/>
  <c r="D591" i="15" s="1"/>
  <c r="F591" i="15"/>
  <c r="C589" i="15"/>
  <c r="F590" i="15"/>
  <c r="F597" i="20"/>
  <c r="C591" i="20"/>
  <c r="D592" i="20"/>
  <c r="C594" i="24" l="1"/>
  <c r="E594" i="24"/>
  <c r="F593" i="20"/>
  <c r="D593" i="20"/>
  <c r="F592" i="15"/>
  <c r="C591" i="15"/>
  <c r="D592" i="15"/>
  <c r="F597" i="15"/>
  <c r="E595" i="24" l="1"/>
  <c r="C595" i="24"/>
  <c r="F593" i="15"/>
  <c r="D593" i="15"/>
  <c r="F594" i="20"/>
  <c r="D594" i="20"/>
  <c r="E596" i="24" l="1"/>
  <c r="C596" i="24"/>
  <c r="F595" i="20"/>
  <c r="D595" i="20"/>
  <c r="F594" i="15"/>
  <c r="D594" i="15"/>
  <c r="E597" i="24" l="1"/>
  <c r="C597" i="24"/>
  <c r="C598" i="24" s="1"/>
  <c r="A598" i="24" s="1"/>
  <c r="F595" i="15"/>
  <c r="D595" i="15"/>
  <c r="D596" i="20"/>
  <c r="D597" i="20" s="1"/>
  <c r="F596" i="20"/>
  <c r="C599" i="24" l="1"/>
  <c r="C597" i="20"/>
  <c r="D598" i="20"/>
  <c r="F596" i="15"/>
  <c r="D596" i="15"/>
  <c r="D597" i="15" s="1"/>
  <c r="E600" i="24" l="1"/>
  <c r="C600" i="24"/>
  <c r="F598" i="15"/>
  <c r="C597" i="15"/>
  <c r="D598" i="15"/>
  <c r="F599" i="20"/>
  <c r="D599" i="20"/>
  <c r="E601" i="24" l="1"/>
  <c r="C601" i="24"/>
  <c r="D600" i="20"/>
  <c r="F600" i="20"/>
  <c r="F599" i="15"/>
  <c r="D599" i="15"/>
  <c r="E602" i="24" l="1"/>
  <c r="C602" i="24"/>
  <c r="D600" i="15"/>
  <c r="F600" i="15"/>
  <c r="F601" i="20"/>
  <c r="D601" i="20"/>
  <c r="E603" i="24" l="1"/>
  <c r="C603" i="24"/>
  <c r="C604" i="24" s="1"/>
  <c r="A604" i="24" s="1"/>
  <c r="D602" i="20"/>
  <c r="D603" i="20" s="1"/>
  <c r="F602" i="20"/>
  <c r="F601" i="15"/>
  <c r="D601" i="15"/>
  <c r="C605" i="24" l="1"/>
  <c r="A605" i="24" s="1"/>
  <c r="F602" i="15"/>
  <c r="D602" i="15"/>
  <c r="D603" i="15" s="1"/>
  <c r="C603" i="20"/>
  <c r="D604" i="20"/>
  <c r="C606" i="24" l="1"/>
  <c r="E608" i="24"/>
  <c r="C604" i="20"/>
  <c r="D605" i="20"/>
  <c r="F607" i="20"/>
  <c r="C603" i="15"/>
  <c r="D604" i="15"/>
  <c r="E607" i="24" l="1"/>
  <c r="C607" i="24"/>
  <c r="C608" i="24" s="1"/>
  <c r="A608" i="24" s="1"/>
  <c r="F606" i="20"/>
  <c r="D606" i="20"/>
  <c r="D607" i="20" s="1"/>
  <c r="F605" i="15"/>
  <c r="D605" i="15"/>
  <c r="C604" i="15"/>
  <c r="F607" i="15"/>
  <c r="E612" i="24" l="1"/>
  <c r="C609" i="24"/>
  <c r="F606" i="15"/>
  <c r="D606" i="15"/>
  <c r="D607" i="15" s="1"/>
  <c r="C607" i="20"/>
  <c r="D608" i="20"/>
  <c r="F611" i="20"/>
  <c r="E610" i="24" l="1"/>
  <c r="C610" i="24"/>
  <c r="F609" i="20"/>
  <c r="D609" i="20"/>
  <c r="F608" i="15"/>
  <c r="C607" i="15"/>
  <c r="F611" i="15"/>
  <c r="D608" i="15"/>
  <c r="E611" i="24" l="1"/>
  <c r="C611" i="24"/>
  <c r="C612" i="24" s="1"/>
  <c r="A612" i="24" s="1"/>
  <c r="D609" i="15"/>
  <c r="F609" i="15"/>
  <c r="F610" i="20"/>
  <c r="D610" i="20"/>
  <c r="D611" i="20" s="1"/>
  <c r="E616" i="24" l="1"/>
  <c r="C613" i="24"/>
  <c r="C611" i="20"/>
  <c r="F615" i="20"/>
  <c r="D612" i="20"/>
  <c r="F610" i="15"/>
  <c r="D610" i="15"/>
  <c r="D611" i="15" s="1"/>
  <c r="C614" i="24" l="1"/>
  <c r="E614" i="24"/>
  <c r="F612" i="15"/>
  <c r="C611" i="15"/>
  <c r="D612" i="15"/>
  <c r="F615" i="15"/>
  <c r="F613" i="20"/>
  <c r="D613" i="20"/>
  <c r="E615" i="24" l="1"/>
  <c r="C615" i="24"/>
  <c r="C616" i="24" s="1"/>
  <c r="A616" i="24" s="1"/>
  <c r="F613" i="15"/>
  <c r="D613" i="15"/>
  <c r="D614" i="20"/>
  <c r="D615" i="20" s="1"/>
  <c r="F614" i="20"/>
  <c r="E620" i="24" l="1"/>
  <c r="C617" i="24"/>
  <c r="F619" i="20"/>
  <c r="C615" i="20"/>
  <c r="D616" i="20"/>
  <c r="D614" i="15"/>
  <c r="D615" i="15" s="1"/>
  <c r="F614" i="15"/>
  <c r="E618" i="24" l="1"/>
  <c r="C618" i="24"/>
  <c r="F616" i="15"/>
  <c r="C615" i="15"/>
  <c r="D616" i="15"/>
  <c r="F619" i="15"/>
  <c r="F617" i="20"/>
  <c r="D617" i="20"/>
  <c r="E619" i="24" l="1"/>
  <c r="C619" i="24"/>
  <c r="C620" i="24" s="1"/>
  <c r="A620" i="24" s="1"/>
  <c r="F617" i="15"/>
  <c r="D617" i="15"/>
  <c r="D618" i="20"/>
  <c r="D619" i="20" s="1"/>
  <c r="F618" i="20"/>
  <c r="E625" i="24" l="1"/>
  <c r="C621" i="24"/>
  <c r="F624" i="20"/>
  <c r="C619" i="20"/>
  <c r="D620" i="20"/>
  <c r="F618" i="15"/>
  <c r="D618" i="15"/>
  <c r="D619" i="15" s="1"/>
  <c r="E622" i="24" l="1"/>
  <c r="C622" i="24"/>
  <c r="F624" i="15"/>
  <c r="F620" i="15"/>
  <c r="C619" i="15"/>
  <c r="D620" i="15"/>
  <c r="F621" i="20"/>
  <c r="D621" i="20"/>
  <c r="C623" i="24" l="1"/>
  <c r="E623" i="24"/>
  <c r="D621" i="15"/>
  <c r="F621" i="15"/>
  <c r="F622" i="20"/>
  <c r="D622" i="20"/>
  <c r="E624" i="24" l="1"/>
  <c r="C624" i="24"/>
  <c r="C625" i="24" s="1"/>
  <c r="A625" i="24" s="1"/>
  <c r="F623" i="20"/>
  <c r="D623" i="20"/>
  <c r="D624" i="20" s="1"/>
  <c r="F622" i="15"/>
  <c r="D622" i="15"/>
  <c r="E629" i="24" l="1"/>
  <c r="C626" i="24"/>
  <c r="F856" i="15"/>
  <c r="D623" i="15"/>
  <c r="D624" i="15" s="1"/>
  <c r="F682" i="15"/>
  <c r="F623" i="15"/>
  <c r="C624" i="20"/>
  <c r="F628" i="20"/>
  <c r="D625" i="20"/>
  <c r="E627" i="24" l="1"/>
  <c r="C627" i="24"/>
  <c r="F626" i="20"/>
  <c r="D626" i="20"/>
  <c r="F1034" i="15"/>
  <c r="F628" i="15"/>
  <c r="F625" i="15"/>
  <c r="C624" i="15"/>
  <c r="D625" i="15"/>
  <c r="E628" i="24" l="1"/>
  <c r="C628" i="24"/>
  <c r="C629" i="24" s="1"/>
  <c r="A629" i="24" s="1"/>
  <c r="F626" i="15"/>
  <c r="D626" i="15"/>
  <c r="D627" i="20"/>
  <c r="D628" i="20" s="1"/>
  <c r="F627" i="20"/>
  <c r="E634" i="24" l="1"/>
  <c r="C630" i="24"/>
  <c r="D629" i="20"/>
  <c r="F633" i="20"/>
  <c r="C628" i="20"/>
  <c r="F627" i="15"/>
  <c r="D627" i="15"/>
  <c r="D628" i="15" s="1"/>
  <c r="C631" i="24" l="1"/>
  <c r="E631" i="24"/>
  <c r="D629" i="15"/>
  <c r="F644" i="15"/>
  <c r="F633" i="15"/>
  <c r="C628" i="15"/>
  <c r="F629" i="15"/>
  <c r="F630" i="20"/>
  <c r="D630" i="20"/>
  <c r="E632" i="24" l="1"/>
  <c r="C632" i="24"/>
  <c r="F631" i="20"/>
  <c r="D631" i="20"/>
  <c r="F671" i="15"/>
  <c r="F630" i="15"/>
  <c r="F661" i="15"/>
  <c r="D630" i="15"/>
  <c r="C633" i="24" l="1"/>
  <c r="C634" i="24" s="1"/>
  <c r="A634" i="24" s="1"/>
  <c r="E633" i="24"/>
  <c r="F631" i="15"/>
  <c r="D631" i="15"/>
  <c r="F632" i="20"/>
  <c r="D632" i="20"/>
  <c r="D633" i="20" s="1"/>
  <c r="C635" i="24" l="1"/>
  <c r="E639" i="24"/>
  <c r="D632" i="15"/>
  <c r="D633" i="15" s="1"/>
  <c r="F632" i="15"/>
  <c r="F638" i="20"/>
  <c r="C633" i="20"/>
  <c r="D634" i="20"/>
  <c r="E636" i="24" l="1"/>
  <c r="C636" i="24"/>
  <c r="D635" i="20"/>
  <c r="F635" i="20"/>
  <c r="F634" i="15"/>
  <c r="C633" i="15"/>
  <c r="D634" i="15"/>
  <c r="E637" i="24" l="1"/>
  <c r="C637" i="24"/>
  <c r="F635" i="15"/>
  <c r="D635" i="15"/>
  <c r="F636" i="20"/>
  <c r="D636" i="20"/>
  <c r="E638" i="24" l="1"/>
  <c r="C638" i="24"/>
  <c r="C639" i="24" s="1"/>
  <c r="A639" i="24" s="1"/>
  <c r="D637" i="20"/>
  <c r="D638" i="20" s="1"/>
  <c r="F637" i="20"/>
  <c r="F1130" i="15"/>
  <c r="F836" i="15"/>
  <c r="F636" i="15"/>
  <c r="D636" i="15"/>
  <c r="C640" i="24" l="1"/>
  <c r="F637" i="15"/>
  <c r="D637" i="15"/>
  <c r="F843" i="15"/>
  <c r="D639" i="20"/>
  <c r="C638" i="20"/>
  <c r="E641" i="24" l="1"/>
  <c r="C641" i="24"/>
  <c r="D640" i="20"/>
  <c r="F640" i="20"/>
  <c r="F850" i="15"/>
  <c r="D638" i="15"/>
  <c r="E642" i="24" l="1"/>
  <c r="C642" i="24"/>
  <c r="F681" i="15"/>
  <c r="C638" i="15"/>
  <c r="D639" i="15"/>
  <c r="F641" i="20"/>
  <c r="D641" i="20"/>
  <c r="E643" i="24" l="1"/>
  <c r="C643" i="24"/>
  <c r="C644" i="24" s="1"/>
  <c r="A644" i="24" s="1"/>
  <c r="F640" i="15"/>
  <c r="D640" i="15"/>
  <c r="C639" i="15"/>
  <c r="F642" i="20"/>
  <c r="D642" i="20"/>
  <c r="D643" i="20" s="1"/>
  <c r="C645" i="24" l="1"/>
  <c r="F831" i="15"/>
  <c r="F641" i="15"/>
  <c r="D641" i="15"/>
  <c r="D644" i="20"/>
  <c r="C643" i="20"/>
  <c r="E646" i="24" l="1"/>
  <c r="C646" i="24"/>
  <c r="F1203" i="15"/>
  <c r="F642" i="15"/>
  <c r="D642" i="15"/>
  <c r="D643" i="15" s="1"/>
  <c r="F826" i="15"/>
  <c r="D645" i="20"/>
  <c r="F645" i="20"/>
  <c r="E647" i="24" l="1"/>
  <c r="C647" i="24"/>
  <c r="C643" i="15"/>
  <c r="D644" i="15"/>
  <c r="F646" i="20"/>
  <c r="D646" i="20"/>
  <c r="E648" i="24" l="1"/>
  <c r="C648" i="24"/>
  <c r="F647" i="20"/>
  <c r="D647" i="20"/>
  <c r="D645" i="15"/>
  <c r="C644" i="15"/>
  <c r="E649" i="24" l="1"/>
  <c r="C649" i="24"/>
  <c r="F648" i="20"/>
  <c r="D648" i="20"/>
  <c r="F646" i="15"/>
  <c r="D646" i="15"/>
  <c r="E650" i="24" l="1"/>
  <c r="C650" i="24"/>
  <c r="F647" i="15"/>
  <c r="D647" i="15"/>
  <c r="F649" i="20"/>
  <c r="D649" i="20"/>
  <c r="E651" i="24" l="1"/>
  <c r="C651" i="24"/>
  <c r="F650" i="20"/>
  <c r="D650" i="20"/>
  <c r="D648" i="15"/>
  <c r="F648" i="15"/>
  <c r="E652" i="24" l="1"/>
  <c r="C652" i="24"/>
  <c r="F649" i="15"/>
  <c r="D649" i="15"/>
  <c r="F651" i="20"/>
  <c r="D651" i="20"/>
  <c r="E653" i="24" l="1"/>
  <c r="C653" i="24"/>
  <c r="F652" i="20"/>
  <c r="D652" i="20"/>
  <c r="F650" i="15"/>
  <c r="D650" i="15"/>
  <c r="E654" i="24" l="1"/>
  <c r="C654" i="24"/>
  <c r="D651" i="15"/>
  <c r="F651" i="15"/>
  <c r="F653" i="20"/>
  <c r="D653" i="20"/>
  <c r="E655" i="24" l="1"/>
  <c r="C655" i="24"/>
  <c r="F652" i="15"/>
  <c r="D652" i="15"/>
  <c r="F654" i="20"/>
  <c r="D654" i="20"/>
  <c r="E656" i="24" l="1"/>
  <c r="C656" i="24"/>
  <c r="F655" i="20"/>
  <c r="D655" i="20"/>
  <c r="F653" i="15"/>
  <c r="D653" i="15"/>
  <c r="E657" i="24" l="1"/>
  <c r="C657" i="24"/>
  <c r="F654" i="15"/>
  <c r="D654" i="15"/>
  <c r="F656" i="20"/>
  <c r="D656" i="20"/>
  <c r="C658" i="24" l="1"/>
  <c r="E658" i="24"/>
  <c r="D655" i="15"/>
  <c r="F655" i="15"/>
  <c r="F657" i="20"/>
  <c r="D657" i="20"/>
  <c r="C659" i="24" l="1"/>
  <c r="C660" i="24" s="1"/>
  <c r="A660" i="24" s="1"/>
  <c r="E659" i="24"/>
  <c r="F658" i="20"/>
  <c r="D658" i="20"/>
  <c r="D659" i="20" s="1"/>
  <c r="F656" i="15"/>
  <c r="D656" i="15"/>
  <c r="C661" i="24" l="1"/>
  <c r="A661" i="24" s="1"/>
  <c r="F657" i="15"/>
  <c r="D657" i="15"/>
  <c r="C659" i="20"/>
  <c r="D660" i="20"/>
  <c r="E664" i="24" l="1"/>
  <c r="C662" i="24"/>
  <c r="C660" i="20"/>
  <c r="D661" i="20"/>
  <c r="F663" i="20"/>
  <c r="D658" i="15"/>
  <c r="F658" i="15"/>
  <c r="E663" i="24" l="1"/>
  <c r="C663" i="24"/>
  <c r="C664" i="24" s="1"/>
  <c r="A664" i="24" s="1"/>
  <c r="F659" i="15"/>
  <c r="D659" i="15"/>
  <c r="D660" i="15" s="1"/>
  <c r="D662" i="20"/>
  <c r="D663" i="20" s="1"/>
  <c r="F662" i="20"/>
  <c r="C665" i="24" l="1"/>
  <c r="C663" i="20"/>
  <c r="D664" i="20"/>
  <c r="C660" i="15"/>
  <c r="D661" i="15"/>
  <c r="E666" i="24" l="1"/>
  <c r="C666" i="24"/>
  <c r="C661" i="15"/>
  <c r="D662" i="15"/>
  <c r="F664" i="15"/>
  <c r="F665" i="20"/>
  <c r="D665" i="20"/>
  <c r="C667" i="24" l="1"/>
  <c r="E667" i="24"/>
  <c r="F663" i="15"/>
  <c r="D663" i="15"/>
  <c r="D664" i="15" s="1"/>
  <c r="F666" i="20"/>
  <c r="D666" i="20"/>
  <c r="E668" i="24" l="1"/>
  <c r="C668" i="24"/>
  <c r="F665" i="15"/>
  <c r="C664" i="15"/>
  <c r="D665" i="15"/>
  <c r="D667" i="20"/>
  <c r="F667" i="20"/>
  <c r="C669" i="24" l="1"/>
  <c r="E669" i="24"/>
  <c r="F668" i="20"/>
  <c r="D668" i="20"/>
  <c r="F675" i="15"/>
  <c r="F666" i="15"/>
  <c r="D666" i="15"/>
  <c r="E670" i="24" l="1"/>
  <c r="C670" i="24"/>
  <c r="C671" i="24" s="1"/>
  <c r="A671" i="24" s="1"/>
  <c r="F667" i="15"/>
  <c r="D667" i="15"/>
  <c r="F669" i="20"/>
  <c r="D669" i="20"/>
  <c r="D670" i="20" s="1"/>
  <c r="C672" i="24" l="1"/>
  <c r="D671" i="20"/>
  <c r="C670" i="20"/>
  <c r="F668" i="15"/>
  <c r="D668" i="15"/>
  <c r="E673" i="24" l="1"/>
  <c r="C673" i="24"/>
  <c r="C674" i="24" s="1"/>
  <c r="A674" i="24" s="1"/>
  <c r="F669" i="15"/>
  <c r="D669" i="15"/>
  <c r="D672" i="20"/>
  <c r="D673" i="20" s="1"/>
  <c r="F672" i="20"/>
  <c r="C675" i="24" l="1"/>
  <c r="D674" i="20"/>
  <c r="C673" i="20"/>
  <c r="F670" i="15"/>
  <c r="D670" i="15"/>
  <c r="D671" i="15" s="1"/>
  <c r="E676" i="24" l="1"/>
  <c r="C676" i="24"/>
  <c r="D672" i="15"/>
  <c r="F672" i="15"/>
  <c r="C671" i="15"/>
  <c r="D675" i="20"/>
  <c r="F675" i="20"/>
  <c r="E677" i="24" l="1"/>
  <c r="C677" i="24"/>
  <c r="F676" i="20"/>
  <c r="D676" i="20"/>
  <c r="D673" i="15"/>
  <c r="D674" i="15" s="1"/>
  <c r="F673" i="15"/>
  <c r="E678" i="24" l="1"/>
  <c r="C678" i="24"/>
  <c r="D675" i="15"/>
  <c r="C674" i="15"/>
  <c r="F677" i="20"/>
  <c r="D677" i="20"/>
  <c r="E679" i="24" l="1"/>
  <c r="C679" i="24"/>
  <c r="F678" i="20"/>
  <c r="D678" i="20"/>
  <c r="F676" i="15"/>
  <c r="D676" i="15"/>
  <c r="C680" i="24" l="1"/>
  <c r="C681" i="24" s="1"/>
  <c r="A681" i="24" s="1"/>
  <c r="E680" i="24"/>
  <c r="F677" i="15"/>
  <c r="D677" i="15"/>
  <c r="F679" i="20"/>
  <c r="D679" i="20"/>
  <c r="D680" i="20" s="1"/>
  <c r="C682" i="24" l="1"/>
  <c r="A682" i="24" s="1"/>
  <c r="C680" i="20"/>
  <c r="D681" i="20"/>
  <c r="F678" i="15"/>
  <c r="D678" i="15"/>
  <c r="E686" i="24" l="1"/>
  <c r="C683" i="24"/>
  <c r="D679" i="15"/>
  <c r="F679" i="15"/>
  <c r="C681" i="20"/>
  <c r="F685" i="20"/>
  <c r="D682" i="20"/>
  <c r="C684" i="24" l="1"/>
  <c r="E684" i="24"/>
  <c r="F683" i="20"/>
  <c r="D683" i="20"/>
  <c r="D680" i="15"/>
  <c r="D681" i="15" s="1"/>
  <c r="F680" i="15"/>
  <c r="E685" i="24" l="1"/>
  <c r="C685" i="24"/>
  <c r="C686" i="24" s="1"/>
  <c r="A686" i="24" s="1"/>
  <c r="D682" i="15"/>
  <c r="C681" i="15"/>
  <c r="D684" i="20"/>
  <c r="D685" i="20" s="1"/>
  <c r="F684" i="20"/>
  <c r="C687" i="24" l="1"/>
  <c r="E690" i="24"/>
  <c r="F689" i="20"/>
  <c r="C685" i="20"/>
  <c r="D686" i="20"/>
  <c r="F683" i="15"/>
  <c r="C682" i="15"/>
  <c r="D683" i="15"/>
  <c r="F686" i="15"/>
  <c r="E688" i="24" l="1"/>
  <c r="C688" i="24"/>
  <c r="F687" i="20"/>
  <c r="D687" i="20"/>
  <c r="D684" i="15"/>
  <c r="F684" i="15"/>
  <c r="E689" i="24" l="1"/>
  <c r="C689" i="24"/>
  <c r="C690" i="24" s="1"/>
  <c r="A690" i="24" s="1"/>
  <c r="F685" i="15"/>
  <c r="D685" i="15"/>
  <c r="D686" i="15" s="1"/>
  <c r="F688" i="20"/>
  <c r="D688" i="20"/>
  <c r="D689" i="20" s="1"/>
  <c r="E694" i="24" l="1"/>
  <c r="C691" i="24"/>
  <c r="F693" i="20"/>
  <c r="C689" i="20"/>
  <c r="D690" i="20"/>
  <c r="F690" i="15"/>
  <c r="F687" i="15"/>
  <c r="C686" i="15"/>
  <c r="D687" i="15"/>
  <c r="E692" i="24" l="1"/>
  <c r="C692" i="24"/>
  <c r="F691" i="20"/>
  <c r="D691" i="20"/>
  <c r="F688" i="15"/>
  <c r="D688" i="15"/>
  <c r="E693" i="24" l="1"/>
  <c r="C693" i="24"/>
  <c r="C694" i="24" s="1"/>
  <c r="A694" i="24" s="1"/>
  <c r="D689" i="15"/>
  <c r="D690" i="15" s="1"/>
  <c r="F689" i="15"/>
  <c r="D692" i="20"/>
  <c r="D693" i="20" s="1"/>
  <c r="F692" i="20"/>
  <c r="E698" i="24" l="1"/>
  <c r="C695" i="24"/>
  <c r="C693" i="20"/>
  <c r="D694" i="20"/>
  <c r="F697" i="20"/>
  <c r="F694" i="15"/>
  <c r="F691" i="15"/>
  <c r="C690" i="15"/>
  <c r="D691" i="15"/>
  <c r="E696" i="24" l="1"/>
  <c r="C696" i="24"/>
  <c r="F692" i="15"/>
  <c r="D692" i="15"/>
  <c r="D695" i="20"/>
  <c r="F695" i="20"/>
  <c r="C697" i="24" l="1"/>
  <c r="C698" i="24" s="1"/>
  <c r="A698" i="24" s="1"/>
  <c r="E697" i="24"/>
  <c r="F696" i="20"/>
  <c r="D696" i="20"/>
  <c r="D697" i="20" s="1"/>
  <c r="F693" i="15"/>
  <c r="D693" i="15"/>
  <c r="D694" i="15" s="1"/>
  <c r="C699" i="24" l="1"/>
  <c r="E702" i="24"/>
  <c r="F695" i="15"/>
  <c r="C694" i="15"/>
  <c r="F698" i="15"/>
  <c r="D695" i="15"/>
  <c r="F701" i="20"/>
  <c r="C697" i="20"/>
  <c r="D698" i="20"/>
  <c r="E700" i="24" l="1"/>
  <c r="C700" i="24"/>
  <c r="D699" i="20"/>
  <c r="F699" i="20"/>
  <c r="F696" i="15"/>
  <c r="D696" i="15"/>
  <c r="E701" i="24" l="1"/>
  <c r="C701" i="24"/>
  <c r="C702" i="24" s="1"/>
  <c r="A702" i="24" s="1"/>
  <c r="F697" i="15"/>
  <c r="D697" i="15"/>
  <c r="D698" i="15" s="1"/>
  <c r="D700" i="20"/>
  <c r="D701" i="20" s="1"/>
  <c r="F700" i="20"/>
  <c r="E706" i="24" l="1"/>
  <c r="C703" i="24"/>
  <c r="D702" i="20"/>
  <c r="F705" i="20"/>
  <c r="C701" i="20"/>
  <c r="F702" i="15"/>
  <c r="F699" i="15"/>
  <c r="C698" i="15"/>
  <c r="D699" i="15"/>
  <c r="E704" i="24" l="1"/>
  <c r="C704" i="24"/>
  <c r="D700" i="15"/>
  <c r="F700" i="15"/>
  <c r="F703" i="20"/>
  <c r="D703" i="20"/>
  <c r="E705" i="24" l="1"/>
  <c r="C705" i="24"/>
  <c r="C706" i="24" s="1"/>
  <c r="A706" i="24" s="1"/>
  <c r="F704" i="20"/>
  <c r="D704" i="20"/>
  <c r="D705" i="20" s="1"/>
  <c r="F701" i="15"/>
  <c r="D701" i="15"/>
  <c r="D702" i="15" s="1"/>
  <c r="E710" i="24" l="1"/>
  <c r="C707" i="24"/>
  <c r="F706" i="15"/>
  <c r="D703" i="15"/>
  <c r="F703" i="15"/>
  <c r="C702" i="15"/>
  <c r="C705" i="20"/>
  <c r="D706" i="20"/>
  <c r="F709" i="20"/>
  <c r="E708" i="24" l="1"/>
  <c r="C708" i="24"/>
  <c r="F704" i="15"/>
  <c r="D704" i="15"/>
  <c r="D707" i="20"/>
  <c r="F707" i="20"/>
  <c r="C709" i="24" l="1"/>
  <c r="C710" i="24" s="1"/>
  <c r="A710" i="24" s="1"/>
  <c r="E709" i="24"/>
  <c r="F708" i="20"/>
  <c r="D708" i="20"/>
  <c r="D709" i="20" s="1"/>
  <c r="F705" i="15"/>
  <c r="D705" i="15"/>
  <c r="D706" i="15" s="1"/>
  <c r="E714" i="24" l="1"/>
  <c r="C711" i="24"/>
  <c r="F707" i="15"/>
  <c r="C706" i="15"/>
  <c r="F710" i="15"/>
  <c r="D707" i="15"/>
  <c r="C709" i="20"/>
  <c r="F713" i="20"/>
  <c r="D710" i="20"/>
  <c r="E712" i="24" l="1"/>
  <c r="C712" i="24"/>
  <c r="D711" i="20"/>
  <c r="F711" i="20"/>
  <c r="F708" i="15"/>
  <c r="D708" i="15"/>
  <c r="E713" i="24" l="1"/>
  <c r="C713" i="24"/>
  <c r="C714" i="24" s="1"/>
  <c r="A714" i="24" s="1"/>
  <c r="F709" i="15"/>
  <c r="D709" i="15"/>
  <c r="D710" i="15" s="1"/>
  <c r="F712" i="20"/>
  <c r="D712" i="20"/>
  <c r="D713" i="20" s="1"/>
  <c r="E718" i="24" l="1"/>
  <c r="C715" i="24"/>
  <c r="C713" i="20"/>
  <c r="D714" i="20"/>
  <c r="F717" i="20"/>
  <c r="F711" i="15"/>
  <c r="C710" i="15"/>
  <c r="F714" i="15"/>
  <c r="D711" i="15"/>
  <c r="E716" i="24" l="1"/>
  <c r="C716" i="24"/>
  <c r="F712" i="15"/>
  <c r="D712" i="15"/>
  <c r="F715" i="20"/>
  <c r="D715" i="20"/>
  <c r="E717" i="24" l="1"/>
  <c r="C717" i="24"/>
  <c r="C718" i="24" s="1"/>
  <c r="A718" i="24" s="1"/>
  <c r="D716" i="20"/>
  <c r="D717" i="20" s="1"/>
  <c r="F716" i="20"/>
  <c r="D713" i="15"/>
  <c r="D714" i="15" s="1"/>
  <c r="F713" i="15"/>
  <c r="C719" i="24" l="1"/>
  <c r="E722" i="24"/>
  <c r="F715" i="15"/>
  <c r="C714" i="15"/>
  <c r="D715" i="15"/>
  <c r="F718" i="15"/>
  <c r="F721" i="20"/>
  <c r="C717" i="20"/>
  <c r="D718" i="20"/>
  <c r="E720" i="24" l="1"/>
  <c r="C720" i="24"/>
  <c r="F719" i="20"/>
  <c r="D719" i="20"/>
  <c r="D716" i="15"/>
  <c r="F716" i="15"/>
  <c r="E721" i="24" l="1"/>
  <c r="C721" i="24"/>
  <c r="C722" i="24" s="1"/>
  <c r="A722" i="24" s="1"/>
  <c r="F717" i="15"/>
  <c r="D717" i="15"/>
  <c r="D718" i="15" s="1"/>
  <c r="F720" i="20"/>
  <c r="D720" i="20"/>
  <c r="D721" i="20" s="1"/>
  <c r="E726" i="24" l="1"/>
  <c r="C723" i="24"/>
  <c r="F725" i="20"/>
  <c r="C721" i="20"/>
  <c r="D722" i="20"/>
  <c r="F722" i="15"/>
  <c r="F719" i="15"/>
  <c r="C718" i="15"/>
  <c r="D719" i="15"/>
  <c r="E724" i="24" l="1"/>
  <c r="C724" i="24"/>
  <c r="F723" i="20"/>
  <c r="D723" i="20"/>
  <c r="F720" i="15"/>
  <c r="D720" i="15"/>
  <c r="E725" i="24" l="1"/>
  <c r="C725" i="24"/>
  <c r="C726" i="24" s="1"/>
  <c r="A726" i="24" s="1"/>
  <c r="D721" i="15"/>
  <c r="D722" i="15" s="1"/>
  <c r="F721" i="15"/>
  <c r="D724" i="20"/>
  <c r="D725" i="20" s="1"/>
  <c r="F724" i="20"/>
  <c r="E730" i="24" l="1"/>
  <c r="C727" i="24"/>
  <c r="C725" i="20"/>
  <c r="D726" i="20"/>
  <c r="F729" i="20"/>
  <c r="F726" i="15"/>
  <c r="F723" i="15"/>
  <c r="C722" i="15"/>
  <c r="D723" i="15"/>
  <c r="E728" i="24" l="1"/>
  <c r="C728" i="24"/>
  <c r="F724" i="15"/>
  <c r="D724" i="15"/>
  <c r="D727" i="20"/>
  <c r="F727" i="20"/>
  <c r="C729" i="24" l="1"/>
  <c r="C730" i="24" s="1"/>
  <c r="A730" i="24" s="1"/>
  <c r="E729" i="24"/>
  <c r="F728" i="20"/>
  <c r="D728" i="20"/>
  <c r="D729" i="20" s="1"/>
  <c r="F725" i="15"/>
  <c r="D725" i="15"/>
  <c r="D726" i="15" s="1"/>
  <c r="C731" i="24" l="1"/>
  <c r="E734" i="24"/>
  <c r="F727" i="15"/>
  <c r="C726" i="15"/>
  <c r="F730" i="15"/>
  <c r="D727" i="15"/>
  <c r="F733" i="20"/>
  <c r="C729" i="20"/>
  <c r="D730" i="20"/>
  <c r="E732" i="24" l="1"/>
  <c r="C732" i="24"/>
  <c r="F728" i="15"/>
  <c r="D728" i="15"/>
  <c r="D731" i="20"/>
  <c r="F731" i="20"/>
  <c r="E733" i="24" l="1"/>
  <c r="C733" i="24"/>
  <c r="C734" i="24" s="1"/>
  <c r="A734" i="24" s="1"/>
  <c r="D732" i="20"/>
  <c r="D733" i="20" s="1"/>
  <c r="F732" i="20"/>
  <c r="F729" i="15"/>
  <c r="D729" i="15"/>
  <c r="D730" i="15" s="1"/>
  <c r="C735" i="24" l="1"/>
  <c r="E738" i="24"/>
  <c r="F734" i="15"/>
  <c r="F731" i="15"/>
  <c r="C730" i="15"/>
  <c r="D731" i="15"/>
  <c r="D734" i="20"/>
  <c r="F737" i="20"/>
  <c r="C733" i="20"/>
  <c r="C736" i="24" l="1"/>
  <c r="E736" i="24"/>
  <c r="F735" i="20"/>
  <c r="D735" i="20"/>
  <c r="D732" i="15"/>
  <c r="F732" i="15"/>
  <c r="E737" i="24" l="1"/>
  <c r="C737" i="24"/>
  <c r="C738" i="24" s="1"/>
  <c r="A738" i="24" s="1"/>
  <c r="F733" i="15"/>
  <c r="D733" i="15"/>
  <c r="D734" i="15" s="1"/>
  <c r="F736" i="20"/>
  <c r="D736" i="20"/>
  <c r="D737" i="20" s="1"/>
  <c r="E742" i="24" l="1"/>
  <c r="C739" i="24"/>
  <c r="C737" i="20"/>
  <c r="D738" i="20"/>
  <c r="F741" i="20"/>
  <c r="F738" i="15"/>
  <c r="D735" i="15"/>
  <c r="F735" i="15"/>
  <c r="C734" i="15"/>
  <c r="E740" i="24" l="1"/>
  <c r="C740" i="24"/>
  <c r="D739" i="20"/>
  <c r="F739" i="20"/>
  <c r="F736" i="15"/>
  <c r="D736" i="15"/>
  <c r="C741" i="24" l="1"/>
  <c r="C742" i="24" s="1"/>
  <c r="A742" i="24" s="1"/>
  <c r="E741" i="24"/>
  <c r="F737" i="15"/>
  <c r="D737" i="15"/>
  <c r="D738" i="15" s="1"/>
  <c r="F740" i="20"/>
  <c r="D740" i="20"/>
  <c r="D741" i="20" s="1"/>
  <c r="C743" i="24" l="1"/>
  <c r="C741" i="20"/>
  <c r="D742" i="20"/>
  <c r="F739" i="15"/>
  <c r="C738" i="15"/>
  <c r="F742" i="15"/>
  <c r="D739" i="15"/>
  <c r="E744" i="24" l="1"/>
  <c r="C744" i="24"/>
  <c r="F740" i="15"/>
  <c r="D740" i="15"/>
  <c r="D743" i="20"/>
  <c r="F743" i="20"/>
  <c r="E745" i="24" l="1"/>
  <c r="C745" i="24"/>
  <c r="C746" i="24" s="1"/>
  <c r="A746" i="24" s="1"/>
  <c r="F744" i="20"/>
  <c r="D744" i="20"/>
  <c r="D745" i="20" s="1"/>
  <c r="F741" i="15"/>
  <c r="D741" i="15"/>
  <c r="D742" i="15" s="1"/>
  <c r="E747" i="24" l="1"/>
  <c r="C747" i="24"/>
  <c r="A747" i="24" s="1"/>
  <c r="F746" i="20"/>
  <c r="C745" i="20"/>
  <c r="D746" i="20"/>
  <c r="F743" i="15"/>
  <c r="C742" i="15"/>
  <c r="F746" i="15"/>
  <c r="D743" i="15"/>
  <c r="C748" i="24" l="1"/>
  <c r="E752" i="24"/>
  <c r="F751" i="20"/>
  <c r="C746" i="20"/>
  <c r="D747" i="20"/>
  <c r="F744" i="15"/>
  <c r="D744" i="15"/>
  <c r="C749" i="24" l="1"/>
  <c r="E749" i="24"/>
  <c r="F748" i="20"/>
  <c r="D748" i="20"/>
  <c r="D745" i="15"/>
  <c r="D746" i="15" s="1"/>
  <c r="F745" i="15"/>
  <c r="E750" i="24" l="1"/>
  <c r="C750" i="24"/>
  <c r="D747" i="15"/>
  <c r="C746" i="15"/>
  <c r="F747" i="15"/>
  <c r="F749" i="20"/>
  <c r="D749" i="20"/>
  <c r="E751" i="24" l="1"/>
  <c r="C751" i="24"/>
  <c r="C752" i="24" s="1"/>
  <c r="A752" i="24" s="1"/>
  <c r="F750" i="20"/>
  <c r="D750" i="20"/>
  <c r="D751" i="20" s="1"/>
  <c r="F752" i="15"/>
  <c r="F748" i="15"/>
  <c r="C747" i="15"/>
  <c r="D748" i="15"/>
  <c r="E757" i="24" l="1"/>
  <c r="C753" i="24"/>
  <c r="C751" i="20"/>
  <c r="F756" i="20"/>
  <c r="D752" i="20"/>
  <c r="F749" i="15"/>
  <c r="D749" i="15"/>
  <c r="E754" i="24" l="1"/>
  <c r="C754" i="24"/>
  <c r="F750" i="15"/>
  <c r="D750" i="15"/>
  <c r="F753" i="20"/>
  <c r="D753" i="20"/>
  <c r="E755" i="24" l="1"/>
  <c r="C755" i="24"/>
  <c r="D754" i="20"/>
  <c r="F754" i="20"/>
  <c r="F751" i="15"/>
  <c r="D751" i="15"/>
  <c r="D752" i="15" s="1"/>
  <c r="E756" i="24" l="1"/>
  <c r="C756" i="24"/>
  <c r="C757" i="24" s="1"/>
  <c r="A757" i="24" s="1"/>
  <c r="F755" i="20"/>
  <c r="D755" i="20"/>
  <c r="D756" i="20" s="1"/>
  <c r="F757" i="15"/>
  <c r="F753" i="15"/>
  <c r="C752" i="15"/>
  <c r="D753" i="15"/>
  <c r="C758" i="24" l="1"/>
  <c r="E762" i="24"/>
  <c r="F754" i="15"/>
  <c r="D754" i="15"/>
  <c r="D757" i="20"/>
  <c r="F761" i="20"/>
  <c r="C756" i="20"/>
  <c r="E759" i="24" l="1"/>
  <c r="C759" i="24"/>
  <c r="D758" i="20"/>
  <c r="F758" i="20"/>
  <c r="F755" i="15"/>
  <c r="D755" i="15"/>
  <c r="E760" i="24" l="1"/>
  <c r="C760" i="24"/>
  <c r="F759" i="20"/>
  <c r="D759" i="20"/>
  <c r="F756" i="15"/>
  <c r="D756" i="15"/>
  <c r="D757" i="15" s="1"/>
  <c r="E761" i="24" l="1"/>
  <c r="C761" i="24"/>
  <c r="C762" i="24" s="1"/>
  <c r="A762" i="24" s="1"/>
  <c r="F760" i="20"/>
  <c r="D760" i="20"/>
  <c r="D761" i="20" s="1"/>
  <c r="F758" i="15"/>
  <c r="C757" i="15"/>
  <c r="F762" i="15"/>
  <c r="D758" i="15"/>
  <c r="C763" i="24" l="1"/>
  <c r="E777" i="24"/>
  <c r="F759" i="15"/>
  <c r="D759" i="15"/>
  <c r="D762" i="20"/>
  <c r="F776" i="20"/>
  <c r="C761" i="20"/>
  <c r="E764" i="24" l="1"/>
  <c r="C764" i="24"/>
  <c r="D763" i="20"/>
  <c r="F763" i="20"/>
  <c r="D760" i="15"/>
  <c r="F760" i="15"/>
  <c r="C765" i="24" l="1"/>
  <c r="E765" i="24"/>
  <c r="D761" i="15"/>
  <c r="D762" i="15" s="1"/>
  <c r="F761" i="15"/>
  <c r="F764" i="20"/>
  <c r="D764" i="20"/>
  <c r="E766" i="24" l="1"/>
  <c r="C766" i="24"/>
  <c r="F765" i="20"/>
  <c r="D765" i="20"/>
  <c r="D763" i="15"/>
  <c r="F777" i="15"/>
  <c r="F763" i="15"/>
  <c r="C762" i="15"/>
  <c r="C767" i="24" l="1"/>
  <c r="E767" i="24"/>
  <c r="D764" i="15"/>
  <c r="F764" i="15"/>
  <c r="F766" i="20"/>
  <c r="D766" i="20"/>
  <c r="E768" i="24" l="1"/>
  <c r="C768" i="24"/>
  <c r="D765" i="15"/>
  <c r="F765" i="15"/>
  <c r="F767" i="20"/>
  <c r="D767" i="20"/>
  <c r="C769" i="24" l="1"/>
  <c r="E769" i="24"/>
  <c r="F766" i="15"/>
  <c r="D766" i="15"/>
  <c r="F768" i="20"/>
  <c r="D768" i="20"/>
  <c r="E770" i="24" l="1"/>
  <c r="C770" i="24"/>
  <c r="F769" i="20"/>
  <c r="D769" i="20"/>
  <c r="F767" i="15"/>
  <c r="D767" i="15"/>
  <c r="C771" i="24" l="1"/>
  <c r="E771" i="24"/>
  <c r="F768" i="15"/>
  <c r="D768" i="15"/>
  <c r="F770" i="20"/>
  <c r="D770" i="20"/>
  <c r="E772" i="24" l="1"/>
  <c r="C772" i="24"/>
  <c r="F771" i="20"/>
  <c r="D771" i="20"/>
  <c r="D769" i="15"/>
  <c r="F769" i="15"/>
  <c r="C773" i="24" l="1"/>
  <c r="E773" i="24"/>
  <c r="F770" i="15"/>
  <c r="D770" i="15"/>
  <c r="F772" i="20"/>
  <c r="D772" i="20"/>
  <c r="E774" i="24" l="1"/>
  <c r="C774" i="24"/>
  <c r="F773" i="20"/>
  <c r="D773" i="20"/>
  <c r="F771" i="15"/>
  <c r="D771" i="15"/>
  <c r="C775" i="24" l="1"/>
  <c r="E775" i="24"/>
  <c r="F772" i="15"/>
  <c r="D772" i="15"/>
  <c r="F774" i="20"/>
  <c r="D774" i="20"/>
  <c r="E776" i="24" l="1"/>
  <c r="C776" i="24"/>
  <c r="C777" i="24" s="1"/>
  <c r="A777" i="24" s="1"/>
  <c r="F775" i="20"/>
  <c r="D775" i="20"/>
  <c r="D776" i="20" s="1"/>
  <c r="D773" i="15"/>
  <c r="F773" i="15"/>
  <c r="E782" i="24" l="1"/>
  <c r="C778" i="24"/>
  <c r="F774" i="15"/>
  <c r="D774" i="15"/>
  <c r="F781" i="20"/>
  <c r="D777" i="20"/>
  <c r="C776" i="20"/>
  <c r="E779" i="24" l="1"/>
  <c r="C779" i="24"/>
  <c r="D778" i="20"/>
  <c r="F778" i="20"/>
  <c r="F775" i="15"/>
  <c r="D775" i="15"/>
  <c r="E780" i="24" l="1"/>
  <c r="C780" i="24"/>
  <c r="F776" i="15"/>
  <c r="D776" i="15"/>
  <c r="D777" i="15" s="1"/>
  <c r="F779" i="20"/>
  <c r="D779" i="20"/>
  <c r="E781" i="24" l="1"/>
  <c r="C781" i="24"/>
  <c r="C782" i="24" s="1"/>
  <c r="A782" i="24" s="1"/>
  <c r="D780" i="20"/>
  <c r="D781" i="20" s="1"/>
  <c r="F780" i="20"/>
  <c r="F782" i="15"/>
  <c r="F778" i="15"/>
  <c r="C777" i="15"/>
  <c r="D778" i="15"/>
  <c r="E787" i="24" l="1"/>
  <c r="C783" i="24"/>
  <c r="F779" i="15"/>
  <c r="D779" i="15"/>
  <c r="C781" i="20"/>
  <c r="F786" i="20"/>
  <c r="D782" i="20"/>
  <c r="C784" i="24" l="1"/>
  <c r="E784" i="24"/>
  <c r="D780" i="15"/>
  <c r="F780" i="15"/>
  <c r="F783" i="20"/>
  <c r="D783" i="20"/>
  <c r="E785" i="24" l="1"/>
  <c r="C785" i="24"/>
  <c r="F784" i="20"/>
  <c r="D784" i="20"/>
  <c r="F781" i="15"/>
  <c r="D781" i="15"/>
  <c r="D782" i="15" s="1"/>
  <c r="C786" i="24" l="1"/>
  <c r="C787" i="24" s="1"/>
  <c r="A787" i="24" s="1"/>
  <c r="E786" i="24"/>
  <c r="F787" i="15"/>
  <c r="F783" i="15"/>
  <c r="C782" i="15"/>
  <c r="D783" i="15"/>
  <c r="F785" i="20"/>
  <c r="D785" i="20"/>
  <c r="D786" i="20" s="1"/>
  <c r="E790" i="24" l="1"/>
  <c r="C788" i="24"/>
  <c r="F784" i="15"/>
  <c r="D784" i="15"/>
  <c r="F789" i="20"/>
  <c r="C786" i="20"/>
  <c r="D787" i="20"/>
  <c r="E789" i="24" l="1"/>
  <c r="C789" i="24"/>
  <c r="C790" i="24" s="1"/>
  <c r="A790" i="24" s="1"/>
  <c r="F788" i="20"/>
  <c r="D788" i="20"/>
  <c r="D789" i="20" s="1"/>
  <c r="F785" i="15"/>
  <c r="D785" i="15"/>
  <c r="C791" i="24" l="1"/>
  <c r="F786" i="15"/>
  <c r="D786" i="15"/>
  <c r="D787" i="15" s="1"/>
  <c r="D790" i="20"/>
  <c r="C789" i="20"/>
  <c r="C792" i="24" l="1"/>
  <c r="E792" i="24"/>
  <c r="F788" i="15"/>
  <c r="C787" i="15"/>
  <c r="F790" i="15"/>
  <c r="D788" i="15"/>
  <c r="F791" i="20"/>
  <c r="D791" i="20"/>
  <c r="E793" i="24" l="1"/>
  <c r="C793" i="24"/>
  <c r="D789" i="15"/>
  <c r="D790" i="15" s="1"/>
  <c r="F789" i="15"/>
  <c r="F792" i="20"/>
  <c r="D792" i="20"/>
  <c r="C794" i="24" l="1"/>
  <c r="C795" i="24" s="1"/>
  <c r="A795" i="24" s="1"/>
  <c r="E794" i="24"/>
  <c r="D791" i="15"/>
  <c r="F791" i="15"/>
  <c r="C790" i="15"/>
  <c r="F793" i="20"/>
  <c r="D793" i="20"/>
  <c r="D794" i="20" s="1"/>
  <c r="E796" i="24" l="1"/>
  <c r="C796" i="24"/>
  <c r="A796" i="24" s="1"/>
  <c r="F792" i="15"/>
  <c r="D792" i="15"/>
  <c r="F795" i="20"/>
  <c r="C794" i="20"/>
  <c r="D795" i="20"/>
  <c r="E797" i="24" l="1"/>
  <c r="C797" i="24"/>
  <c r="E800" i="24"/>
  <c r="F793" i="15"/>
  <c r="D793" i="15"/>
  <c r="D796" i="20"/>
  <c r="F799" i="20"/>
  <c r="F796" i="20"/>
  <c r="C795" i="20"/>
  <c r="E798" i="24" l="1"/>
  <c r="C798" i="24"/>
  <c r="F797" i="20"/>
  <c r="D797" i="20"/>
  <c r="F794" i="15"/>
  <c r="D794" i="15"/>
  <c r="E799" i="24" l="1"/>
  <c r="C799" i="24"/>
  <c r="C800" i="24" s="1"/>
  <c r="A800" i="24" s="1"/>
  <c r="F795" i="15"/>
  <c r="D795" i="15"/>
  <c r="F798" i="20"/>
  <c r="D798" i="20"/>
  <c r="D799" i="20" s="1"/>
  <c r="C801" i="24" l="1"/>
  <c r="E803" i="24"/>
  <c r="C799" i="20"/>
  <c r="F802" i="20"/>
  <c r="D800" i="20"/>
  <c r="D796" i="15"/>
  <c r="C795" i="15"/>
  <c r="F796" i="15"/>
  <c r="E802" i="24" l="1"/>
  <c r="C802" i="24"/>
  <c r="C803" i="24" s="1"/>
  <c r="A803" i="24" s="1"/>
  <c r="F797" i="15"/>
  <c r="C796" i="15"/>
  <c r="D797" i="15"/>
  <c r="F800" i="15"/>
  <c r="D801" i="20"/>
  <c r="D802" i="20" s="1"/>
  <c r="F801" i="20"/>
  <c r="C804" i="24" l="1"/>
  <c r="C805" i="24" s="1"/>
  <c r="A805" i="24" s="1"/>
  <c r="E805" i="24"/>
  <c r="D803" i="20"/>
  <c r="D804" i="20" s="1"/>
  <c r="F804" i="20"/>
  <c r="C802" i="20"/>
  <c r="F798" i="15"/>
  <c r="D798" i="15"/>
  <c r="E808" i="24" l="1"/>
  <c r="C806" i="24"/>
  <c r="F799" i="15"/>
  <c r="D799" i="15"/>
  <c r="D800" i="15" s="1"/>
  <c r="F807" i="20"/>
  <c r="C804" i="20"/>
  <c r="D805" i="20"/>
  <c r="E807" i="24" l="1"/>
  <c r="C807" i="24"/>
  <c r="C808" i="24" s="1"/>
  <c r="A808" i="24" s="1"/>
  <c r="F801" i="15"/>
  <c r="C800" i="15"/>
  <c r="D801" i="15"/>
  <c r="F803" i="15"/>
  <c r="F806" i="20"/>
  <c r="D806" i="20"/>
  <c r="D807" i="20" s="1"/>
  <c r="C809" i="24" l="1"/>
  <c r="E814" i="24"/>
  <c r="F802" i="15"/>
  <c r="D802" i="15"/>
  <c r="D803" i="15" s="1"/>
  <c r="F813" i="20"/>
  <c r="C807" i="20"/>
  <c r="D808" i="20"/>
  <c r="E810" i="24" l="1"/>
  <c r="C810" i="24"/>
  <c r="F809" i="20"/>
  <c r="D809" i="20"/>
  <c r="F805" i="15"/>
  <c r="F804" i="15"/>
  <c r="C803" i="15"/>
  <c r="D804" i="15"/>
  <c r="D805" i="15" s="1"/>
  <c r="E811" i="24" l="1"/>
  <c r="C811" i="24"/>
  <c r="F806" i="15"/>
  <c r="C805" i="15"/>
  <c r="F808" i="15"/>
  <c r="D806" i="15"/>
  <c r="F810" i="20"/>
  <c r="D810" i="20"/>
  <c r="E812" i="24" l="1"/>
  <c r="C812" i="24"/>
  <c r="F807" i="15"/>
  <c r="D807" i="15"/>
  <c r="D808" i="15" s="1"/>
  <c r="D811" i="20"/>
  <c r="F811" i="20"/>
  <c r="C813" i="24" l="1"/>
  <c r="C814" i="24" s="1"/>
  <c r="A814" i="24" s="1"/>
  <c r="E813" i="24"/>
  <c r="F812" i="20"/>
  <c r="D812" i="20"/>
  <c r="D813" i="20" s="1"/>
  <c r="F809" i="15"/>
  <c r="C808" i="15"/>
  <c r="D809" i="15"/>
  <c r="F814" i="15"/>
  <c r="E818" i="24" l="1"/>
  <c r="C815" i="24"/>
  <c r="C813" i="20"/>
  <c r="F817" i="20"/>
  <c r="D814" i="20"/>
  <c r="F810" i="15"/>
  <c r="D810" i="15"/>
  <c r="C816" i="24" l="1"/>
  <c r="E816" i="24"/>
  <c r="F811" i="15"/>
  <c r="D811" i="15"/>
  <c r="F815" i="20"/>
  <c r="D815" i="20"/>
  <c r="E817" i="24" l="1"/>
  <c r="C817" i="24"/>
  <c r="C818" i="24" s="1"/>
  <c r="A818" i="24" s="1"/>
  <c r="F816" i="20"/>
  <c r="D816" i="20"/>
  <c r="D817" i="20" s="1"/>
  <c r="F812" i="15"/>
  <c r="D812" i="15"/>
  <c r="E821" i="24" l="1"/>
  <c r="C819" i="24"/>
  <c r="F813" i="15"/>
  <c r="D813" i="15"/>
  <c r="D814" i="15" s="1"/>
  <c r="F820" i="20"/>
  <c r="C817" i="20"/>
  <c r="D818" i="20"/>
  <c r="E820" i="24" l="1"/>
  <c r="C820" i="24"/>
  <c r="C821" i="24" s="1"/>
  <c r="A821" i="24" s="1"/>
  <c r="F818" i="15"/>
  <c r="F815" i="15"/>
  <c r="C814" i="15"/>
  <c r="D815" i="15"/>
  <c r="F819" i="20"/>
  <c r="D819" i="20"/>
  <c r="D820" i="20" s="1"/>
  <c r="E823" i="24" l="1"/>
  <c r="E822" i="24"/>
  <c r="C822" i="24"/>
  <c r="C823" i="24" s="1"/>
  <c r="A823" i="24" s="1"/>
  <c r="F816" i="15"/>
  <c r="D816" i="15"/>
  <c r="D821" i="20"/>
  <c r="D822" i="20" s="1"/>
  <c r="F822" i="20"/>
  <c r="F821" i="20"/>
  <c r="C820" i="20"/>
  <c r="C824" i="24" l="1"/>
  <c r="D823" i="20"/>
  <c r="C822" i="20"/>
  <c r="F817" i="15"/>
  <c r="D817" i="15"/>
  <c r="D818" i="15" s="1"/>
  <c r="E825" i="24" l="1"/>
  <c r="C825" i="24"/>
  <c r="C826" i="24" s="1"/>
  <c r="A826" i="24" s="1"/>
  <c r="F819" i="15"/>
  <c r="C818" i="15"/>
  <c r="F821" i="15"/>
  <c r="D819" i="15"/>
  <c r="D824" i="20"/>
  <c r="D825" i="20" s="1"/>
  <c r="F824" i="20"/>
  <c r="C827" i="24" l="1"/>
  <c r="C825" i="20"/>
  <c r="D826" i="20"/>
  <c r="F820" i="15"/>
  <c r="D820" i="15"/>
  <c r="D821" i="15" s="1"/>
  <c r="C828" i="24" l="1"/>
  <c r="E828" i="24"/>
  <c r="F823" i="15"/>
  <c r="F822" i="15"/>
  <c r="C821" i="15"/>
  <c r="D822" i="15"/>
  <c r="D823" i="15" s="1"/>
  <c r="F827" i="20"/>
  <c r="D827" i="20"/>
  <c r="C829" i="24" l="1"/>
  <c r="E829" i="24"/>
  <c r="F824" i="15"/>
  <c r="C823" i="15"/>
  <c r="D824" i="15"/>
  <c r="F828" i="20"/>
  <c r="D828" i="20"/>
  <c r="C830" i="24" l="1"/>
  <c r="C831" i="24" s="1"/>
  <c r="A831" i="24" s="1"/>
  <c r="E830" i="24"/>
  <c r="F825" i="15"/>
  <c r="D825" i="15"/>
  <c r="D826" i="15" s="1"/>
  <c r="F829" i="20"/>
  <c r="D829" i="20"/>
  <c r="D830" i="20" s="1"/>
  <c r="C832" i="24" l="1"/>
  <c r="D831" i="20"/>
  <c r="C830" i="20"/>
  <c r="F827" i="15"/>
  <c r="C826" i="15"/>
  <c r="D827" i="15"/>
  <c r="C833" i="24" l="1"/>
  <c r="E833" i="24"/>
  <c r="F828" i="15"/>
  <c r="D828" i="15"/>
  <c r="F832" i="20"/>
  <c r="D832" i="20"/>
  <c r="C834" i="24" l="1"/>
  <c r="E834" i="24"/>
  <c r="F833" i="20"/>
  <c r="D833" i="20"/>
  <c r="D829" i="15"/>
  <c r="F829" i="15"/>
  <c r="E835" i="24" l="1"/>
  <c r="C835" i="24"/>
  <c r="C836" i="24" s="1"/>
  <c r="A836" i="24" s="1"/>
  <c r="F830" i="15"/>
  <c r="D830" i="15"/>
  <c r="D831" i="15" s="1"/>
  <c r="F834" i="20"/>
  <c r="D834" i="20"/>
  <c r="D835" i="20" s="1"/>
  <c r="C837" i="24" l="1"/>
  <c r="C835" i="20"/>
  <c r="D836" i="20"/>
  <c r="F832" i="15"/>
  <c r="C831" i="15"/>
  <c r="D832" i="15"/>
  <c r="E838" i="24" l="1"/>
  <c r="C838" i="24"/>
  <c r="F833" i="15"/>
  <c r="D833" i="15"/>
  <c r="F837" i="20"/>
  <c r="D837" i="20"/>
  <c r="E839" i="24" l="1"/>
  <c r="C839" i="24"/>
  <c r="F838" i="20"/>
  <c r="D838" i="20"/>
  <c r="F834" i="15"/>
  <c r="D834" i="15"/>
  <c r="E840" i="24" l="1"/>
  <c r="C840" i="24"/>
  <c r="D839" i="20"/>
  <c r="F839" i="20"/>
  <c r="D835" i="15"/>
  <c r="D836" i="15" s="1"/>
  <c r="F835" i="15"/>
  <c r="E841" i="24" l="1"/>
  <c r="C841" i="24"/>
  <c r="F837" i="15"/>
  <c r="C836" i="15"/>
  <c r="D837" i="15"/>
  <c r="F840" i="20"/>
  <c r="D840" i="20"/>
  <c r="E842" i="24" l="1"/>
  <c r="C842" i="24"/>
  <c r="C843" i="24" s="1"/>
  <c r="A843" i="24" s="1"/>
  <c r="F838" i="15"/>
  <c r="D838" i="15"/>
  <c r="D841" i="20"/>
  <c r="D842" i="20" s="1"/>
  <c r="F841" i="20"/>
  <c r="C844" i="24" l="1"/>
  <c r="C842" i="20"/>
  <c r="D843" i="20"/>
  <c r="F839" i="15"/>
  <c r="D839" i="15"/>
  <c r="C845" i="24" l="1"/>
  <c r="E845" i="24"/>
  <c r="F844" i="20"/>
  <c r="D844" i="20"/>
  <c r="D840" i="15"/>
  <c r="F840" i="15"/>
  <c r="E846" i="24" l="1"/>
  <c r="C846" i="24"/>
  <c r="F841" i="15"/>
  <c r="D841" i="15"/>
  <c r="F845" i="20"/>
  <c r="D845" i="20"/>
  <c r="E847" i="24" l="1"/>
  <c r="C847" i="24"/>
  <c r="F846" i="20"/>
  <c r="D846" i="20"/>
  <c r="F842" i="15"/>
  <c r="D842" i="15"/>
  <c r="D843" i="15" s="1"/>
  <c r="E848" i="24" l="1"/>
  <c r="C848" i="24"/>
  <c r="F844" i="15"/>
  <c r="C843" i="15"/>
  <c r="D844" i="15"/>
  <c r="F847" i="20"/>
  <c r="D847" i="20"/>
  <c r="E849" i="24" l="1"/>
  <c r="C849" i="24"/>
  <c r="C850" i="24" s="1"/>
  <c r="A850" i="24" s="1"/>
  <c r="F848" i="20"/>
  <c r="D848" i="20"/>
  <c r="D849" i="20" s="1"/>
  <c r="D845" i="15"/>
  <c r="F845" i="15"/>
  <c r="C851" i="24" l="1"/>
  <c r="F846" i="15"/>
  <c r="D846" i="15"/>
  <c r="D850" i="20"/>
  <c r="C849" i="20"/>
  <c r="E852" i="24" l="1"/>
  <c r="C852" i="24"/>
  <c r="D851" i="20"/>
  <c r="F851" i="20"/>
  <c r="F847" i="15"/>
  <c r="D847" i="15"/>
  <c r="C853" i="24" l="1"/>
  <c r="E853" i="24"/>
  <c r="D848" i="15"/>
  <c r="F848" i="15"/>
  <c r="D852" i="20"/>
  <c r="F852" i="20"/>
  <c r="E854" i="24" l="1"/>
  <c r="C854" i="24"/>
  <c r="C855" i="24" s="1"/>
  <c r="A855" i="24" s="1"/>
  <c r="F849" i="15"/>
  <c r="D849" i="15"/>
  <c r="D850" i="15" s="1"/>
  <c r="F853" i="20"/>
  <c r="D853" i="20"/>
  <c r="D854" i="20" s="1"/>
  <c r="C856" i="24" l="1"/>
  <c r="A856" i="24" s="1"/>
  <c r="C854" i="20"/>
  <c r="D855" i="20"/>
  <c r="D851" i="15"/>
  <c r="C850" i="15"/>
  <c r="F851" i="15"/>
  <c r="E859" i="24" l="1"/>
  <c r="C857" i="24"/>
  <c r="F852" i="15"/>
  <c r="D852" i="15"/>
  <c r="F858" i="20"/>
  <c r="C855" i="20"/>
  <c r="D856" i="20"/>
  <c r="E858" i="24" l="1"/>
  <c r="C858" i="24"/>
  <c r="C859" i="24" s="1"/>
  <c r="A859" i="24" s="1"/>
  <c r="F853" i="15"/>
  <c r="D853" i="15"/>
  <c r="F857" i="20"/>
  <c r="D857" i="20"/>
  <c r="D858" i="20" s="1"/>
  <c r="E861" i="24" l="1"/>
  <c r="E860" i="24"/>
  <c r="C860" i="24"/>
  <c r="C861" i="24" s="1"/>
  <c r="A861" i="24" s="1"/>
  <c r="F860" i="20"/>
  <c r="F859" i="20"/>
  <c r="C858" i="20"/>
  <c r="D859" i="20"/>
  <c r="D860" i="20" s="1"/>
  <c r="F854" i="15"/>
  <c r="D854" i="15"/>
  <c r="E866" i="24" l="1"/>
  <c r="E862" i="24"/>
  <c r="C862" i="24"/>
  <c r="F865" i="20"/>
  <c r="F861" i="20"/>
  <c r="C860" i="20"/>
  <c r="D861" i="20"/>
  <c r="F855" i="15"/>
  <c r="D855" i="15"/>
  <c r="E863" i="24" l="1"/>
  <c r="C863" i="24"/>
  <c r="D862" i="20"/>
  <c r="F862" i="20"/>
  <c r="C855" i="15"/>
  <c r="D856" i="15"/>
  <c r="E864" i="24" l="1"/>
  <c r="C864" i="24"/>
  <c r="F859" i="15"/>
  <c r="D857" i="15"/>
  <c r="C856" i="15"/>
  <c r="F857" i="15"/>
  <c r="D863" i="20"/>
  <c r="F863" i="20"/>
  <c r="E865" i="24" l="1"/>
  <c r="C865" i="24"/>
  <c r="C866" i="24" s="1"/>
  <c r="A866" i="24" s="1"/>
  <c r="D864" i="20"/>
  <c r="D865" i="20" s="1"/>
  <c r="F864" i="20"/>
  <c r="D858" i="15"/>
  <c r="D859" i="15" s="1"/>
  <c r="F858" i="15"/>
  <c r="E871" i="24" l="1"/>
  <c r="C867" i="24"/>
  <c r="F870" i="20"/>
  <c r="C865" i="20"/>
  <c r="D866" i="20"/>
  <c r="C859" i="15"/>
  <c r="F860" i="15"/>
  <c r="D860" i="15"/>
  <c r="D861" i="15" s="1"/>
  <c r="F861" i="15"/>
  <c r="C868" i="24" l="1"/>
  <c r="E868" i="24"/>
  <c r="F867" i="20"/>
  <c r="D867" i="20"/>
  <c r="F866" i="15"/>
  <c r="F862" i="15"/>
  <c r="C861" i="15"/>
  <c r="D862" i="15"/>
  <c r="C869" i="24" l="1"/>
  <c r="E869" i="24"/>
  <c r="F863" i="15"/>
  <c r="D863" i="15"/>
  <c r="D868" i="20"/>
  <c r="F868" i="20"/>
  <c r="C870" i="24" l="1"/>
  <c r="C871" i="24" s="1"/>
  <c r="A871" i="24" s="1"/>
  <c r="E870" i="24"/>
  <c r="F869" i="20"/>
  <c r="D869" i="20"/>
  <c r="D870" i="20" s="1"/>
  <c r="D864" i="15"/>
  <c r="F864" i="15"/>
  <c r="E876" i="24" l="1"/>
  <c r="C872" i="24"/>
  <c r="F865" i="15"/>
  <c r="D865" i="15"/>
  <c r="D866" i="15" s="1"/>
  <c r="F875" i="20"/>
  <c r="C870" i="20"/>
  <c r="D871" i="20"/>
  <c r="C873" i="24" l="1"/>
  <c r="E873" i="24"/>
  <c r="F871" i="15"/>
  <c r="C866" i="15"/>
  <c r="F867" i="15"/>
  <c r="D867" i="15"/>
  <c r="F872" i="20"/>
  <c r="D872" i="20"/>
  <c r="E874" i="24" l="1"/>
  <c r="C874" i="24"/>
  <c r="F868" i="15"/>
  <c r="D868" i="15"/>
  <c r="F873" i="20"/>
  <c r="D873" i="20"/>
  <c r="E875" i="24" l="1"/>
  <c r="C875" i="24"/>
  <c r="C876" i="24" s="1"/>
  <c r="A876" i="24" s="1"/>
  <c r="F869" i="15"/>
  <c r="D869" i="15"/>
  <c r="D874" i="20"/>
  <c r="D875" i="20" s="1"/>
  <c r="F874" i="20"/>
  <c r="E881" i="24" l="1"/>
  <c r="C877" i="24"/>
  <c r="F880" i="20"/>
  <c r="C875" i="20"/>
  <c r="D876" i="20"/>
  <c r="D870" i="15"/>
  <c r="D871" i="15" s="1"/>
  <c r="F870" i="15"/>
  <c r="E878" i="24" l="1"/>
  <c r="C878" i="24"/>
  <c r="F876" i="15"/>
  <c r="D872" i="15"/>
  <c r="C871" i="15"/>
  <c r="F872" i="15"/>
  <c r="D877" i="20"/>
  <c r="F877" i="20"/>
  <c r="E879" i="24" l="1"/>
  <c r="C879" i="24"/>
  <c r="F873" i="15"/>
  <c r="D873" i="15"/>
  <c r="D878" i="20"/>
  <c r="F878" i="20"/>
  <c r="E880" i="24" l="1"/>
  <c r="C880" i="24"/>
  <c r="C881" i="24" s="1"/>
  <c r="A881" i="24" s="1"/>
  <c r="D879" i="20"/>
  <c r="D880" i="20" s="1"/>
  <c r="F879" i="20"/>
  <c r="F874" i="15"/>
  <c r="D874" i="15"/>
  <c r="E886" i="24" l="1"/>
  <c r="C882" i="24"/>
  <c r="F875" i="15"/>
  <c r="D875" i="15"/>
  <c r="D876" i="15" s="1"/>
  <c r="F885" i="20"/>
  <c r="C880" i="20"/>
  <c r="D881" i="20"/>
  <c r="E883" i="24" l="1"/>
  <c r="C883" i="24"/>
  <c r="F877" i="15"/>
  <c r="F881" i="15"/>
  <c r="D877" i="15"/>
  <c r="C876" i="15"/>
  <c r="F882" i="20"/>
  <c r="D882" i="20"/>
  <c r="E884" i="24" l="1"/>
  <c r="C884" i="24"/>
  <c r="F878" i="15"/>
  <c r="D878" i="15"/>
  <c r="D883" i="20"/>
  <c r="F883" i="20"/>
  <c r="E885" i="24" l="1"/>
  <c r="C885" i="24"/>
  <c r="C886" i="24" s="1"/>
  <c r="A886" i="24" s="1"/>
  <c r="F884" i="20"/>
  <c r="D884" i="20"/>
  <c r="D885" i="20" s="1"/>
  <c r="D879" i="15"/>
  <c r="F879" i="15"/>
  <c r="E891" i="24" l="1"/>
  <c r="C887" i="24"/>
  <c r="F880" i="15"/>
  <c r="D880" i="15"/>
  <c r="D881" i="15" s="1"/>
  <c r="C885" i="20"/>
  <c r="F890" i="20"/>
  <c r="D886" i="20"/>
  <c r="E888" i="24" l="1"/>
  <c r="C888" i="24"/>
  <c r="D882" i="15"/>
  <c r="F882" i="15"/>
  <c r="F886" i="15"/>
  <c r="C881" i="15"/>
  <c r="D887" i="20"/>
  <c r="F887" i="20"/>
  <c r="E889" i="24" l="1"/>
  <c r="C889" i="24"/>
  <c r="F888" i="20"/>
  <c r="D888" i="20"/>
  <c r="D883" i="15"/>
  <c r="F883" i="15"/>
  <c r="C890" i="24" l="1"/>
  <c r="C891" i="24" s="1"/>
  <c r="A891" i="24" s="1"/>
  <c r="E890" i="24"/>
  <c r="D884" i="15"/>
  <c r="F884" i="15"/>
  <c r="F889" i="20"/>
  <c r="D889" i="20"/>
  <c r="D890" i="20" s="1"/>
  <c r="E896" i="24" l="1"/>
  <c r="C892" i="24"/>
  <c r="F895" i="20"/>
  <c r="D891" i="20"/>
  <c r="C890" i="20"/>
  <c r="D885" i="15"/>
  <c r="D886" i="15" s="1"/>
  <c r="F885" i="15"/>
  <c r="E893" i="24" l="1"/>
  <c r="C893" i="24"/>
  <c r="F891" i="15"/>
  <c r="F887" i="15"/>
  <c r="C886" i="15"/>
  <c r="D887" i="15"/>
  <c r="F892" i="20"/>
  <c r="D892" i="20"/>
  <c r="E894" i="24" l="1"/>
  <c r="C894" i="24"/>
  <c r="F888" i="15"/>
  <c r="D888" i="15"/>
  <c r="D893" i="20"/>
  <c r="F893" i="20"/>
  <c r="E895" i="24" l="1"/>
  <c r="C895" i="24"/>
  <c r="C896" i="24" s="1"/>
  <c r="A896" i="24" s="1"/>
  <c r="F894" i="20"/>
  <c r="D894" i="20"/>
  <c r="D895" i="20" s="1"/>
  <c r="F889" i="15"/>
  <c r="D889" i="15"/>
  <c r="C897" i="24" l="1"/>
  <c r="E901" i="24"/>
  <c r="F890" i="15"/>
  <c r="D890" i="15"/>
  <c r="D891" i="15" s="1"/>
  <c r="F900" i="20"/>
  <c r="D896" i="20"/>
  <c r="C895" i="20"/>
  <c r="C898" i="24" l="1"/>
  <c r="E898" i="24"/>
  <c r="F897" i="20"/>
  <c r="D897" i="20"/>
  <c r="F892" i="15"/>
  <c r="F896" i="15"/>
  <c r="D892" i="15"/>
  <c r="C891" i="15"/>
  <c r="E899" i="24" l="1"/>
  <c r="C899" i="24"/>
  <c r="F893" i="15"/>
  <c r="D893" i="15"/>
  <c r="F898" i="20"/>
  <c r="D898" i="20"/>
  <c r="E900" i="24" l="1"/>
  <c r="C900" i="24"/>
  <c r="C901" i="24" s="1"/>
  <c r="A901" i="24" s="1"/>
  <c r="D899" i="20"/>
  <c r="D900" i="20" s="1"/>
  <c r="F899" i="20"/>
  <c r="F894" i="15"/>
  <c r="D894" i="15"/>
  <c r="E906" i="24" l="1"/>
  <c r="C902" i="24"/>
  <c r="F895" i="15"/>
  <c r="D895" i="15"/>
  <c r="D896" i="15" s="1"/>
  <c r="D901" i="20"/>
  <c r="F905" i="20"/>
  <c r="C900" i="20"/>
  <c r="E903" i="24" l="1"/>
  <c r="C903" i="24"/>
  <c r="F902" i="20"/>
  <c r="D902" i="20"/>
  <c r="D897" i="15"/>
  <c r="F901" i="15"/>
  <c r="F897" i="15"/>
  <c r="C896" i="15"/>
  <c r="E904" i="24" l="1"/>
  <c r="C904" i="24"/>
  <c r="D898" i="15"/>
  <c r="F898" i="15"/>
  <c r="F903" i="20"/>
  <c r="D903" i="20"/>
  <c r="E905" i="24" l="1"/>
  <c r="C905" i="24"/>
  <c r="C906" i="24" s="1"/>
  <c r="A906" i="24" s="1"/>
  <c r="F904" i="20"/>
  <c r="D904" i="20"/>
  <c r="D905" i="20" s="1"/>
  <c r="D899" i="15"/>
  <c r="F899" i="15"/>
  <c r="E911" i="24" l="1"/>
  <c r="C907" i="24"/>
  <c r="D900" i="15"/>
  <c r="D901" i="15" s="1"/>
  <c r="F900" i="15"/>
  <c r="C905" i="20"/>
  <c r="F910" i="20"/>
  <c r="D906" i="20"/>
  <c r="E908" i="24" l="1"/>
  <c r="C908" i="24"/>
  <c r="F907" i="20"/>
  <c r="D907" i="20"/>
  <c r="F906" i="15"/>
  <c r="F902" i="15"/>
  <c r="C901" i="15"/>
  <c r="D902" i="15"/>
  <c r="C909" i="24" l="1"/>
  <c r="E909" i="24"/>
  <c r="D903" i="15"/>
  <c r="F903" i="15"/>
  <c r="F908" i="20"/>
  <c r="D908" i="20"/>
  <c r="E910" i="24" l="1"/>
  <c r="C910" i="24"/>
  <c r="C911" i="24" s="1"/>
  <c r="A911" i="24" s="1"/>
  <c r="F909" i="20"/>
  <c r="D909" i="20"/>
  <c r="D910" i="20" s="1"/>
  <c r="F904" i="15"/>
  <c r="D904" i="15"/>
  <c r="E916" i="24" l="1"/>
  <c r="C912" i="24"/>
  <c r="F915" i="20"/>
  <c r="C910" i="20"/>
  <c r="D911" i="20"/>
  <c r="D905" i="15"/>
  <c r="D906" i="15" s="1"/>
  <c r="F905" i="15"/>
  <c r="C913" i="24" l="1"/>
  <c r="E913" i="24"/>
  <c r="C906" i="15"/>
  <c r="F911" i="15"/>
  <c r="F907" i="15"/>
  <c r="D907" i="15"/>
  <c r="F912" i="20"/>
  <c r="D912" i="20"/>
  <c r="C914" i="24" l="1"/>
  <c r="E914" i="24"/>
  <c r="D908" i="15"/>
  <c r="F908" i="15"/>
  <c r="F913" i="20"/>
  <c r="D913" i="20"/>
  <c r="C915" i="24" l="1"/>
  <c r="C916" i="24" s="1"/>
  <c r="A916" i="24" s="1"/>
  <c r="E915" i="24"/>
  <c r="D909" i="15"/>
  <c r="F909" i="15"/>
  <c r="F914" i="20"/>
  <c r="D914" i="20"/>
  <c r="D915" i="20" s="1"/>
  <c r="E921" i="24" l="1"/>
  <c r="C917" i="24"/>
  <c r="C915" i="20"/>
  <c r="F920" i="20"/>
  <c r="D916" i="20"/>
  <c r="D910" i="15"/>
  <c r="D911" i="15" s="1"/>
  <c r="F910" i="15"/>
  <c r="E918" i="24" l="1"/>
  <c r="C918" i="24"/>
  <c r="D917" i="20"/>
  <c r="F917" i="20"/>
  <c r="F912" i="15"/>
  <c r="C911" i="15"/>
  <c r="D912" i="15"/>
  <c r="F916" i="15"/>
  <c r="E919" i="24" l="1"/>
  <c r="C919" i="24"/>
  <c r="F913" i="15"/>
  <c r="D913" i="15"/>
  <c r="F918" i="20"/>
  <c r="D918" i="20"/>
  <c r="C920" i="24" l="1"/>
  <c r="C921" i="24" s="1"/>
  <c r="A921" i="24" s="1"/>
  <c r="E920" i="24"/>
  <c r="F919" i="20"/>
  <c r="D919" i="20"/>
  <c r="D920" i="20" s="1"/>
  <c r="D914" i="15"/>
  <c r="F914" i="15"/>
  <c r="C922" i="24" l="1"/>
  <c r="E926" i="24"/>
  <c r="D915" i="15"/>
  <c r="D916" i="15" s="1"/>
  <c r="F915" i="15"/>
  <c r="F925" i="20"/>
  <c r="C920" i="20"/>
  <c r="D921" i="20"/>
  <c r="C923" i="24" l="1"/>
  <c r="E923" i="24"/>
  <c r="F922" i="20"/>
  <c r="D922" i="20"/>
  <c r="F921" i="15"/>
  <c r="F917" i="15"/>
  <c r="C916" i="15"/>
  <c r="D917" i="15"/>
  <c r="E924" i="24" l="1"/>
  <c r="C924" i="24"/>
  <c r="D918" i="15"/>
  <c r="F918" i="15"/>
  <c r="F923" i="20"/>
  <c r="D923" i="20"/>
  <c r="E925" i="24" l="1"/>
  <c r="C925" i="24"/>
  <c r="C926" i="24" s="1"/>
  <c r="A926" i="24" s="1"/>
  <c r="D924" i="20"/>
  <c r="D925" i="20" s="1"/>
  <c r="F924" i="20"/>
  <c r="D919" i="15"/>
  <c r="F919" i="15"/>
  <c r="C927" i="24" l="1"/>
  <c r="E931" i="24"/>
  <c r="D920" i="15"/>
  <c r="D921" i="15" s="1"/>
  <c r="F920" i="15"/>
  <c r="D926" i="20"/>
  <c r="F930" i="20"/>
  <c r="C925" i="20"/>
  <c r="C928" i="24" l="1"/>
  <c r="E928" i="24"/>
  <c r="F927" i="20"/>
  <c r="D927" i="20"/>
  <c r="D922" i="15"/>
  <c r="F922" i="15"/>
  <c r="C921" i="15"/>
  <c r="F926" i="15"/>
  <c r="E929" i="24" l="1"/>
  <c r="C929" i="24"/>
  <c r="D923" i="15"/>
  <c r="F923" i="15"/>
  <c r="F928" i="20"/>
  <c r="D928" i="20"/>
  <c r="E930" i="24" l="1"/>
  <c r="C930" i="24"/>
  <c r="C931" i="24" s="1"/>
  <c r="A931" i="24" s="1"/>
  <c r="D929" i="20"/>
  <c r="D930" i="20" s="1"/>
  <c r="F929" i="20"/>
  <c r="D924" i="15"/>
  <c r="F924" i="15"/>
  <c r="E936" i="24" l="1"/>
  <c r="C932" i="24"/>
  <c r="D925" i="15"/>
  <c r="D926" i="15" s="1"/>
  <c r="F925" i="15"/>
  <c r="F935" i="20"/>
  <c r="D931" i="20"/>
  <c r="C930" i="20"/>
  <c r="E933" i="24" l="1"/>
  <c r="C933" i="24"/>
  <c r="D932" i="20"/>
  <c r="F932" i="20"/>
  <c r="F927" i="15"/>
  <c r="C926" i="15"/>
  <c r="F931" i="15"/>
  <c r="D927" i="15"/>
  <c r="E934" i="24" l="1"/>
  <c r="C934" i="24"/>
  <c r="D928" i="15"/>
  <c r="F928" i="15"/>
  <c r="F933" i="20"/>
  <c r="D933" i="20"/>
  <c r="E935" i="24" l="1"/>
  <c r="C935" i="24"/>
  <c r="C936" i="24" s="1"/>
  <c r="A936" i="24" s="1"/>
  <c r="D929" i="15"/>
  <c r="F929" i="15"/>
  <c r="F934" i="20"/>
  <c r="D934" i="20"/>
  <c r="D935" i="20" s="1"/>
  <c r="C937" i="24" l="1"/>
  <c r="E941" i="24"/>
  <c r="C935" i="20"/>
  <c r="D936" i="20"/>
  <c r="F940" i="20"/>
  <c r="D930" i="15"/>
  <c r="D931" i="15" s="1"/>
  <c r="F930" i="15"/>
  <c r="E938" i="24" l="1"/>
  <c r="C938" i="24"/>
  <c r="D932" i="15"/>
  <c r="C931" i="15"/>
  <c r="F936" i="15"/>
  <c r="F932" i="15"/>
  <c r="D937" i="20"/>
  <c r="F937" i="20"/>
  <c r="C939" i="24" l="1"/>
  <c r="E939" i="24"/>
  <c r="D938" i="20"/>
  <c r="F938" i="20"/>
  <c r="D933" i="15"/>
  <c r="F933" i="15"/>
  <c r="C940" i="24" l="1"/>
  <c r="C941" i="24" s="1"/>
  <c r="A941" i="24" s="1"/>
  <c r="E940" i="24"/>
  <c r="D934" i="15"/>
  <c r="F934" i="15"/>
  <c r="D939" i="20"/>
  <c r="D940" i="20" s="1"/>
  <c r="F939" i="20"/>
  <c r="E944" i="24" l="1"/>
  <c r="C942" i="24"/>
  <c r="C940" i="20"/>
  <c r="F943" i="20"/>
  <c r="D941" i="20"/>
  <c r="D935" i="15"/>
  <c r="D936" i="15" s="1"/>
  <c r="F935" i="15"/>
  <c r="E943" i="24" l="1"/>
  <c r="C943" i="24"/>
  <c r="C944" i="24" s="1"/>
  <c r="A944" i="24" s="1"/>
  <c r="F937" i="15"/>
  <c r="C936" i="15"/>
  <c r="F941" i="15"/>
  <c r="D937" i="15"/>
  <c r="F942" i="20"/>
  <c r="D942" i="20"/>
  <c r="D943" i="20" s="1"/>
  <c r="E950" i="24" l="1"/>
  <c r="C945" i="24"/>
  <c r="D938" i="15"/>
  <c r="F938" i="15"/>
  <c r="F949" i="20"/>
  <c r="C943" i="20"/>
  <c r="D944" i="20"/>
  <c r="E946" i="24" l="1"/>
  <c r="C946" i="24"/>
  <c r="D945" i="20"/>
  <c r="F945" i="20"/>
  <c r="D939" i="15"/>
  <c r="F939" i="15"/>
  <c r="E947" i="24" l="1"/>
  <c r="C947" i="24"/>
  <c r="F940" i="15"/>
  <c r="D940" i="15"/>
  <c r="D941" i="15" s="1"/>
  <c r="F946" i="20"/>
  <c r="D946" i="20"/>
  <c r="E948" i="24" l="1"/>
  <c r="C948" i="24"/>
  <c r="F947" i="20"/>
  <c r="D947" i="20"/>
  <c r="D942" i="15"/>
  <c r="F944" i="15"/>
  <c r="F942" i="15"/>
  <c r="C941" i="15"/>
  <c r="E949" i="24" l="1"/>
  <c r="C949" i="24"/>
  <c r="C950" i="24" s="1"/>
  <c r="A950" i="24" s="1"/>
  <c r="F943" i="15"/>
  <c r="D943" i="15"/>
  <c r="D944" i="15" s="1"/>
  <c r="F948" i="20"/>
  <c r="D948" i="20"/>
  <c r="D949" i="20" s="1"/>
  <c r="C951" i="24" l="1"/>
  <c r="E953" i="24"/>
  <c r="D945" i="15"/>
  <c r="F950" i="15"/>
  <c r="F945" i="15"/>
  <c r="C944" i="15"/>
  <c r="C949" i="20"/>
  <c r="F952" i="20"/>
  <c r="D950" i="20"/>
  <c r="C952" i="24" l="1"/>
  <c r="C953" i="24" s="1"/>
  <c r="A953" i="24" s="1"/>
  <c r="E952" i="24"/>
  <c r="D951" i="20"/>
  <c r="D952" i="20" s="1"/>
  <c r="F951" i="20"/>
  <c r="D946" i="15"/>
  <c r="F946" i="15"/>
  <c r="E959" i="24" l="1"/>
  <c r="C954" i="24"/>
  <c r="D947" i="15"/>
  <c r="F947" i="15"/>
  <c r="F958" i="20"/>
  <c r="D953" i="20"/>
  <c r="C952" i="20"/>
  <c r="C955" i="24" l="1"/>
  <c r="E955" i="24"/>
  <c r="D954" i="20"/>
  <c r="F954" i="20"/>
  <c r="D948" i="15"/>
  <c r="F948" i="15"/>
  <c r="E956" i="24" l="1"/>
  <c r="C956" i="24"/>
  <c r="D949" i="15"/>
  <c r="D950" i="15" s="1"/>
  <c r="F949" i="15"/>
  <c r="F955" i="20"/>
  <c r="D955" i="20"/>
  <c r="E957" i="24" l="1"/>
  <c r="C957" i="24"/>
  <c r="F956" i="20"/>
  <c r="D956" i="20"/>
  <c r="F951" i="15"/>
  <c r="C950" i="15"/>
  <c r="F953" i="15"/>
  <c r="D951" i="15"/>
  <c r="E958" i="24" l="1"/>
  <c r="C958" i="24"/>
  <c r="C959" i="24" s="1"/>
  <c r="A959" i="24" s="1"/>
  <c r="D952" i="15"/>
  <c r="D953" i="15" s="1"/>
  <c r="F952" i="15"/>
  <c r="F957" i="20"/>
  <c r="D957" i="20"/>
  <c r="D958" i="20" s="1"/>
  <c r="E962" i="24" l="1"/>
  <c r="C960" i="24"/>
  <c r="C958" i="20"/>
  <c r="F961" i="20"/>
  <c r="D959" i="20"/>
  <c r="D954" i="15"/>
  <c r="C953" i="15"/>
  <c r="F959" i="15"/>
  <c r="F954" i="15"/>
  <c r="C961" i="24" l="1"/>
  <c r="C962" i="24" s="1"/>
  <c r="A962" i="24" s="1"/>
  <c r="E961" i="24"/>
  <c r="D955" i="15"/>
  <c r="F955" i="15"/>
  <c r="D960" i="20"/>
  <c r="D961" i="20" s="1"/>
  <c r="F960" i="20"/>
  <c r="E968" i="24" l="1"/>
  <c r="C963" i="24"/>
  <c r="F967" i="20"/>
  <c r="C961" i="20"/>
  <c r="D962" i="20"/>
  <c r="D956" i="15"/>
  <c r="F956" i="15"/>
  <c r="E964" i="24" l="1"/>
  <c r="C964" i="24"/>
  <c r="D957" i="15"/>
  <c r="F957" i="15"/>
  <c r="F963" i="20"/>
  <c r="D963" i="20"/>
  <c r="C965" i="24" l="1"/>
  <c r="E965" i="24"/>
  <c r="D964" i="20"/>
  <c r="F964" i="20"/>
  <c r="D958" i="15"/>
  <c r="D959" i="15" s="1"/>
  <c r="F958" i="15"/>
  <c r="E966" i="24" l="1"/>
  <c r="C966" i="24"/>
  <c r="F965" i="20"/>
  <c r="D965" i="20"/>
  <c r="F960" i="15"/>
  <c r="C959" i="15"/>
  <c r="F962" i="15"/>
  <c r="D960" i="15"/>
  <c r="E967" i="24" l="1"/>
  <c r="C967" i="24"/>
  <c r="C968" i="24" s="1"/>
  <c r="A968" i="24" s="1"/>
  <c r="D961" i="15"/>
  <c r="D962" i="15" s="1"/>
  <c r="F961" i="15"/>
  <c r="F966" i="20"/>
  <c r="D966" i="20"/>
  <c r="D967" i="20" s="1"/>
  <c r="C969" i="24" l="1"/>
  <c r="E972" i="24"/>
  <c r="D968" i="20"/>
  <c r="F971" i="20"/>
  <c r="C967" i="20"/>
  <c r="F968" i="15"/>
  <c r="F963" i="15"/>
  <c r="C962" i="15"/>
  <c r="D963" i="15"/>
  <c r="E970" i="24" l="1"/>
  <c r="C970" i="24"/>
  <c r="F964" i="15"/>
  <c r="D964" i="15"/>
  <c r="F969" i="20"/>
  <c r="D969" i="20"/>
  <c r="E971" i="24" l="1"/>
  <c r="C971" i="24"/>
  <c r="C972" i="24" s="1"/>
  <c r="A972" i="24" s="1"/>
  <c r="F970" i="20"/>
  <c r="D970" i="20"/>
  <c r="D971" i="20" s="1"/>
  <c r="F965" i="15"/>
  <c r="D965" i="15"/>
  <c r="E975" i="24" l="1"/>
  <c r="C973" i="24"/>
  <c r="F966" i="15"/>
  <c r="D966" i="15"/>
  <c r="F974" i="20"/>
  <c r="D972" i="20"/>
  <c r="C971" i="20"/>
  <c r="E974" i="24" l="1"/>
  <c r="C974" i="24"/>
  <c r="C975" i="24" s="1"/>
  <c r="A975" i="24" s="1"/>
  <c r="F967" i="15"/>
  <c r="D967" i="15"/>
  <c r="D968" i="15" s="1"/>
  <c r="F973" i="20"/>
  <c r="D973" i="20"/>
  <c r="D974" i="20" s="1"/>
  <c r="E981" i="24" l="1"/>
  <c r="E976" i="24"/>
  <c r="C976" i="24"/>
  <c r="C977" i="24" s="1"/>
  <c r="D969" i="15"/>
  <c r="F972" i="15"/>
  <c r="F969" i="15"/>
  <c r="C968" i="15"/>
  <c r="F980" i="20"/>
  <c r="F975" i="20"/>
  <c r="C974" i="20"/>
  <c r="D975" i="20"/>
  <c r="D976" i="20" s="1"/>
  <c r="E978" i="24" l="1"/>
  <c r="C978" i="24"/>
  <c r="F977" i="20"/>
  <c r="D977" i="20"/>
  <c r="F970" i="15"/>
  <c r="D970" i="15"/>
  <c r="E979" i="24" l="1"/>
  <c r="C979" i="24"/>
  <c r="D971" i="15"/>
  <c r="D972" i="15" s="1"/>
  <c r="F971" i="15"/>
  <c r="F978" i="20"/>
  <c r="D978" i="20"/>
  <c r="E980" i="24" l="1"/>
  <c r="C980" i="24"/>
  <c r="C981" i="24" s="1"/>
  <c r="A981" i="24" s="1"/>
  <c r="F979" i="20"/>
  <c r="D979" i="20"/>
  <c r="D980" i="20" s="1"/>
  <c r="F973" i="15"/>
  <c r="C972" i="15"/>
  <c r="D973" i="15"/>
  <c r="F975" i="15"/>
  <c r="E984" i="24" l="1"/>
  <c r="C982" i="24"/>
  <c r="C980" i="20"/>
  <c r="F983" i="20"/>
  <c r="D981" i="20"/>
  <c r="F974" i="15"/>
  <c r="D974" i="15"/>
  <c r="D975" i="15" s="1"/>
  <c r="C983" i="24" l="1"/>
  <c r="C984" i="24" s="1"/>
  <c r="A984" i="24" s="1"/>
  <c r="E983" i="24"/>
  <c r="D982" i="20"/>
  <c r="D983" i="20" s="1"/>
  <c r="F982" i="20"/>
  <c r="F976" i="15"/>
  <c r="C975" i="15"/>
  <c r="D976" i="15"/>
  <c r="F981" i="15"/>
  <c r="C985" i="24" l="1"/>
  <c r="E990" i="24"/>
  <c r="F977" i="15"/>
  <c r="D977" i="15"/>
  <c r="C983" i="20"/>
  <c r="D984" i="20"/>
  <c r="F989" i="20"/>
  <c r="E986" i="24" l="1"/>
  <c r="C986" i="24"/>
  <c r="F985" i="20"/>
  <c r="D985" i="20"/>
  <c r="F978" i="15"/>
  <c r="D978" i="15"/>
  <c r="E987" i="24" l="1"/>
  <c r="C987" i="24"/>
  <c r="F986" i="20"/>
  <c r="D986" i="20"/>
  <c r="F979" i="15"/>
  <c r="D979" i="15"/>
  <c r="E988" i="24" l="1"/>
  <c r="C988" i="24"/>
  <c r="D980" i="15"/>
  <c r="D981" i="15" s="1"/>
  <c r="F980" i="15"/>
  <c r="F987" i="20"/>
  <c r="D987" i="20"/>
  <c r="E989" i="24" l="1"/>
  <c r="C989" i="24"/>
  <c r="C990" i="24" s="1"/>
  <c r="A990" i="24" s="1"/>
  <c r="F988" i="20"/>
  <c r="D988" i="20"/>
  <c r="D989" i="20" s="1"/>
  <c r="F982" i="15"/>
  <c r="C981" i="15"/>
  <c r="D982" i="15"/>
  <c r="F984" i="15"/>
  <c r="C991" i="24" l="1"/>
  <c r="E994" i="24"/>
  <c r="C989" i="20"/>
  <c r="D990" i="20"/>
  <c r="F993" i="20"/>
  <c r="F983" i="15"/>
  <c r="D983" i="15"/>
  <c r="D984" i="15" s="1"/>
  <c r="E992" i="24" l="1"/>
  <c r="C992" i="24"/>
  <c r="F991" i="20"/>
  <c r="D991" i="20"/>
  <c r="F985" i="15"/>
  <c r="C984" i="15"/>
  <c r="D985" i="15"/>
  <c r="F990" i="15"/>
  <c r="E993" i="24" l="1"/>
  <c r="C993" i="24"/>
  <c r="C994" i="24" s="1"/>
  <c r="A994" i="24" s="1"/>
  <c r="F992" i="20"/>
  <c r="D992" i="20"/>
  <c r="D993" i="20" s="1"/>
  <c r="F986" i="15"/>
  <c r="D986" i="15"/>
  <c r="E997" i="24" l="1"/>
  <c r="C995" i="24"/>
  <c r="F987" i="15"/>
  <c r="D987" i="15"/>
  <c r="C993" i="20"/>
  <c r="F996" i="20"/>
  <c r="D994" i="20"/>
  <c r="C996" i="24" l="1"/>
  <c r="C997" i="24" s="1"/>
  <c r="A997" i="24" s="1"/>
  <c r="E996" i="24"/>
  <c r="F988" i="15"/>
  <c r="D988" i="15"/>
  <c r="D995" i="20"/>
  <c r="D996" i="20" s="1"/>
  <c r="F995" i="20"/>
  <c r="E998" i="24" l="1"/>
  <c r="C998" i="24"/>
  <c r="A998" i="24" s="1"/>
  <c r="F997" i="20"/>
  <c r="C996" i="20"/>
  <c r="D997" i="20"/>
  <c r="D989" i="15"/>
  <c r="D990" i="15" s="1"/>
  <c r="F989" i="15"/>
  <c r="E1002" i="24" l="1"/>
  <c r="C999" i="24"/>
  <c r="F994" i="15"/>
  <c r="F991" i="15"/>
  <c r="C990" i="15"/>
  <c r="D991" i="15"/>
  <c r="F1001" i="20"/>
  <c r="C997" i="20"/>
  <c r="D998" i="20"/>
  <c r="E1000" i="24" l="1"/>
  <c r="C1000" i="24"/>
  <c r="F992" i="15"/>
  <c r="D992" i="15"/>
  <c r="D999" i="20"/>
  <c r="F999" i="20"/>
  <c r="E1001" i="24" l="1"/>
  <c r="C1001" i="24"/>
  <c r="C1002" i="24" s="1"/>
  <c r="A1002" i="24" s="1"/>
  <c r="D1000" i="20"/>
  <c r="D1001" i="20" s="1"/>
  <c r="F1000" i="20"/>
  <c r="D993" i="15"/>
  <c r="D994" i="15" s="1"/>
  <c r="F993" i="15"/>
  <c r="C1003" i="24" l="1"/>
  <c r="E1006" i="24"/>
  <c r="D1002" i="20"/>
  <c r="F1005" i="20"/>
  <c r="C1001" i="20"/>
  <c r="D995" i="15"/>
  <c r="F997" i="15"/>
  <c r="F995" i="15"/>
  <c r="C994" i="15"/>
  <c r="E1004" i="24" l="1"/>
  <c r="C1004" i="24"/>
  <c r="F996" i="15"/>
  <c r="D996" i="15"/>
  <c r="D997" i="15" s="1"/>
  <c r="F1003" i="20"/>
  <c r="D1003" i="20"/>
  <c r="C1005" i="24" l="1"/>
  <c r="C1006" i="24" s="1"/>
  <c r="A1006" i="24" s="1"/>
  <c r="E1005" i="24"/>
  <c r="F1004" i="20"/>
  <c r="D1004" i="20"/>
  <c r="D1005" i="20" s="1"/>
  <c r="F998" i="15"/>
  <c r="D998" i="15"/>
  <c r="C997" i="15"/>
  <c r="E1010" i="24" l="1"/>
  <c r="C1007" i="24"/>
  <c r="F999" i="15"/>
  <c r="C998" i="15"/>
  <c r="F1002" i="15"/>
  <c r="D999" i="15"/>
  <c r="C1005" i="20"/>
  <c r="F1009" i="20"/>
  <c r="D1006" i="20"/>
  <c r="C1008" i="24" l="1"/>
  <c r="E1008" i="24"/>
  <c r="F1007" i="20"/>
  <c r="D1007" i="20"/>
  <c r="D1000" i="15"/>
  <c r="F1000" i="15"/>
  <c r="E1009" i="24" l="1"/>
  <c r="C1009" i="24"/>
  <c r="C1010" i="24" s="1"/>
  <c r="A1010" i="24" s="1"/>
  <c r="F1001" i="15"/>
  <c r="D1001" i="15"/>
  <c r="D1002" i="15" s="1"/>
  <c r="D1008" i="20"/>
  <c r="D1009" i="20" s="1"/>
  <c r="F1008" i="20"/>
  <c r="E1019" i="24" l="1"/>
  <c r="C1011" i="24"/>
  <c r="D1010" i="20"/>
  <c r="F1018" i="20"/>
  <c r="C1009" i="20"/>
  <c r="F1003" i="15"/>
  <c r="C1002" i="15"/>
  <c r="F1006" i="15"/>
  <c r="D1003" i="15"/>
  <c r="E1012" i="24" l="1"/>
  <c r="C1012" i="24"/>
  <c r="F1004" i="15"/>
  <c r="D1004" i="15"/>
  <c r="D1011" i="20"/>
  <c r="F1011" i="20"/>
  <c r="C1013" i="24" l="1"/>
  <c r="E1013" i="24"/>
  <c r="D1012" i="20"/>
  <c r="F1012" i="20"/>
  <c r="D1005" i="15"/>
  <c r="D1006" i="15" s="1"/>
  <c r="F1005" i="15"/>
  <c r="E1014" i="24" l="1"/>
  <c r="C1014" i="24"/>
  <c r="F1007" i="15"/>
  <c r="C1006" i="15"/>
  <c r="D1007" i="15"/>
  <c r="F1010" i="15"/>
  <c r="D1013" i="20"/>
  <c r="F1013" i="20"/>
  <c r="C1015" i="24" l="1"/>
  <c r="E1015" i="24"/>
  <c r="F1008" i="15"/>
  <c r="D1008" i="15"/>
  <c r="D1014" i="20"/>
  <c r="F1014" i="20"/>
  <c r="C1016" i="24" l="1"/>
  <c r="E1016" i="24"/>
  <c r="F1015" i="20"/>
  <c r="D1015" i="20"/>
  <c r="F1009" i="15"/>
  <c r="D1009" i="15"/>
  <c r="D1010" i="15" s="1"/>
  <c r="C1017" i="24" l="1"/>
  <c r="E1017" i="24"/>
  <c r="F1019" i="15"/>
  <c r="F1011" i="15"/>
  <c r="C1010" i="15"/>
  <c r="D1011" i="15"/>
  <c r="F1016" i="20"/>
  <c r="D1016" i="20"/>
  <c r="C1018" i="24" l="1"/>
  <c r="C1019" i="24" s="1"/>
  <c r="A1019" i="24" s="1"/>
  <c r="E1018" i="24"/>
  <c r="F1012" i="15"/>
  <c r="D1012" i="15"/>
  <c r="F1017" i="20"/>
  <c r="D1017" i="20"/>
  <c r="D1018" i="20" s="1"/>
  <c r="E1026" i="24" l="1"/>
  <c r="C1020" i="24"/>
  <c r="F1025" i="20"/>
  <c r="C1018" i="20"/>
  <c r="D1019" i="20"/>
  <c r="F1013" i="15"/>
  <c r="D1013" i="15"/>
  <c r="C1021" i="24" l="1"/>
  <c r="E1021" i="24"/>
  <c r="F1020" i="20"/>
  <c r="D1020" i="20"/>
  <c r="D1014" i="15"/>
  <c r="F1014" i="15"/>
  <c r="C1022" i="24" l="1"/>
  <c r="E1022" i="24"/>
  <c r="F1015" i="15"/>
  <c r="D1015" i="15"/>
  <c r="F1021" i="20"/>
  <c r="D1021" i="20"/>
  <c r="E1023" i="24" l="1"/>
  <c r="C1023" i="24"/>
  <c r="F1022" i="20"/>
  <c r="D1022" i="20"/>
  <c r="F1016" i="15"/>
  <c r="D1016" i="15"/>
  <c r="E1024" i="24" l="1"/>
  <c r="C1024" i="24"/>
  <c r="D1017" i="15"/>
  <c r="F1017" i="15"/>
  <c r="F1023" i="20"/>
  <c r="D1023" i="20"/>
  <c r="E1025" i="24" l="1"/>
  <c r="C1025" i="24"/>
  <c r="C1026" i="24" s="1"/>
  <c r="A1026" i="24" s="1"/>
  <c r="D1024" i="20"/>
  <c r="D1025" i="20" s="1"/>
  <c r="F1024" i="20"/>
  <c r="F1018" i="15"/>
  <c r="D1018" i="15"/>
  <c r="D1019" i="15" s="1"/>
  <c r="C1027" i="24" l="1"/>
  <c r="F1026" i="15"/>
  <c r="F1020" i="15"/>
  <c r="C1019" i="15"/>
  <c r="D1020" i="15"/>
  <c r="D1026" i="20"/>
  <c r="C1025" i="20"/>
  <c r="E1028" i="24" l="1"/>
  <c r="C1028" i="24"/>
  <c r="F1021" i="15"/>
  <c r="D1021" i="15"/>
  <c r="D1027" i="20"/>
  <c r="F1027" i="20"/>
  <c r="E1029" i="24" l="1"/>
  <c r="C1029" i="24"/>
  <c r="C1030" i="24" s="1"/>
  <c r="A1030" i="24" s="1"/>
  <c r="F1028" i="20"/>
  <c r="D1028" i="20"/>
  <c r="D1029" i="20" s="1"/>
  <c r="F1022" i="15"/>
  <c r="D1022" i="15"/>
  <c r="C1031" i="24" l="1"/>
  <c r="F1023" i="15"/>
  <c r="D1023" i="15"/>
  <c r="C1029" i="20"/>
  <c r="D1030" i="20"/>
  <c r="E1032" i="24" l="1"/>
  <c r="C1032" i="24"/>
  <c r="C1033" i="24" s="1"/>
  <c r="A1033" i="24" s="1"/>
  <c r="F1031" i="20"/>
  <c r="D1031" i="20"/>
  <c r="D1032" i="20" s="1"/>
  <c r="F1024" i="15"/>
  <c r="D1024" i="15"/>
  <c r="C1034" i="24" l="1"/>
  <c r="A1034" i="24" s="1"/>
  <c r="D1025" i="15"/>
  <c r="D1026" i="15" s="1"/>
  <c r="F1025" i="15"/>
  <c r="C1032" i="20"/>
  <c r="D1033" i="20"/>
  <c r="E1041" i="24" l="1"/>
  <c r="C1035" i="24"/>
  <c r="D1034" i="20"/>
  <c r="F1040" i="20"/>
  <c r="C1033" i="20"/>
  <c r="F1027" i="15"/>
  <c r="C1026" i="15"/>
  <c r="D1027" i="15"/>
  <c r="F1030" i="15"/>
  <c r="C1036" i="24" l="1"/>
  <c r="E1036" i="24"/>
  <c r="F1028" i="15"/>
  <c r="D1028" i="15"/>
  <c r="D1035" i="20"/>
  <c r="F1035" i="20"/>
  <c r="C1037" i="24" l="1"/>
  <c r="E1037" i="24"/>
  <c r="F1036" i="20"/>
  <c r="D1036" i="20"/>
  <c r="F1029" i="15"/>
  <c r="D1029" i="15"/>
  <c r="D1030" i="15" s="1"/>
  <c r="E1038" i="24" l="1"/>
  <c r="C1038" i="24"/>
  <c r="D1031" i="15"/>
  <c r="F1031" i="15"/>
  <c r="C1030" i="15"/>
  <c r="D1037" i="20"/>
  <c r="F1037" i="20"/>
  <c r="C1039" i="24" l="1"/>
  <c r="E1039" i="24"/>
  <c r="F1038" i="20"/>
  <c r="D1038" i="20"/>
  <c r="D1032" i="15"/>
  <c r="D1033" i="15" s="1"/>
  <c r="F1032" i="15"/>
  <c r="E1040" i="24" l="1"/>
  <c r="C1040" i="24"/>
  <c r="C1041" i="24" s="1"/>
  <c r="A1041" i="24" s="1"/>
  <c r="C1033" i="15"/>
  <c r="D1034" i="15"/>
  <c r="F1039" i="20"/>
  <c r="D1039" i="20"/>
  <c r="D1040" i="20" s="1"/>
  <c r="E1046" i="24" l="1"/>
  <c r="C1042" i="24"/>
  <c r="F1045" i="20"/>
  <c r="C1040" i="20"/>
  <c r="D1041" i="20"/>
  <c r="F1035" i="15"/>
  <c r="C1034" i="15"/>
  <c r="D1035" i="15"/>
  <c r="F1041" i="15"/>
  <c r="C1043" i="24" l="1"/>
  <c r="E1043" i="24"/>
  <c r="D1042" i="20"/>
  <c r="F1042" i="20"/>
  <c r="F1036" i="15"/>
  <c r="D1036" i="15"/>
  <c r="E1044" i="24" l="1"/>
  <c r="C1044" i="24"/>
  <c r="F1037" i="15"/>
  <c r="D1037" i="15"/>
  <c r="F1043" i="20"/>
  <c r="D1043" i="20"/>
  <c r="E1045" i="24" l="1"/>
  <c r="C1045" i="24"/>
  <c r="C1046" i="24" s="1"/>
  <c r="A1046" i="24" s="1"/>
  <c r="F1044" i="20"/>
  <c r="D1044" i="20"/>
  <c r="D1045" i="20" s="1"/>
  <c r="F1038" i="15"/>
  <c r="D1038" i="15"/>
  <c r="E1049" i="24" l="1"/>
  <c r="C1047" i="24"/>
  <c r="F1039" i="15"/>
  <c r="D1039" i="15"/>
  <c r="D1046" i="20"/>
  <c r="F1048" i="20"/>
  <c r="C1045" i="20"/>
  <c r="C1048" i="24" l="1"/>
  <c r="C1049" i="24" s="1"/>
  <c r="A1049" i="24" s="1"/>
  <c r="E1048" i="24"/>
  <c r="F1040" i="15"/>
  <c r="D1040" i="15"/>
  <c r="D1041" i="15" s="1"/>
  <c r="F1047" i="20"/>
  <c r="D1047" i="20"/>
  <c r="D1048" i="20" s="1"/>
  <c r="E1056" i="24" l="1"/>
  <c r="C1050" i="24"/>
  <c r="F1055" i="20"/>
  <c r="C1048" i="20"/>
  <c r="D1049" i="20"/>
  <c r="F1046" i="15"/>
  <c r="F1042" i="15"/>
  <c r="C1041" i="15"/>
  <c r="D1042" i="15"/>
  <c r="E1051" i="24" l="1"/>
  <c r="C1051" i="24"/>
  <c r="D1043" i="15"/>
  <c r="F1043" i="15"/>
  <c r="F1050" i="20"/>
  <c r="D1050" i="20"/>
  <c r="E1052" i="24" l="1"/>
  <c r="C1052" i="24"/>
  <c r="D1044" i="15"/>
  <c r="F1044" i="15"/>
  <c r="F1051" i="20"/>
  <c r="D1051" i="20"/>
  <c r="E1053" i="24" l="1"/>
  <c r="C1053" i="24"/>
  <c r="F1052" i="20"/>
  <c r="D1052" i="20"/>
  <c r="D1045" i="15"/>
  <c r="D1046" i="15" s="1"/>
  <c r="F1045" i="15"/>
  <c r="E1054" i="24" l="1"/>
  <c r="C1054" i="24"/>
  <c r="F1047" i="15"/>
  <c r="C1046" i="15"/>
  <c r="F1049" i="15"/>
  <c r="D1047" i="15"/>
  <c r="F1053" i="20"/>
  <c r="D1053" i="20"/>
  <c r="E1055" i="24" l="1"/>
  <c r="C1055" i="24"/>
  <c r="C1056" i="24" s="1"/>
  <c r="A1056" i="24" s="1"/>
  <c r="D1048" i="15"/>
  <c r="D1049" i="15" s="1"/>
  <c r="F1048" i="15"/>
  <c r="F1054" i="20"/>
  <c r="D1054" i="20"/>
  <c r="D1055" i="20" s="1"/>
  <c r="C1057" i="24" l="1"/>
  <c r="C1058" i="24" s="1"/>
  <c r="A1058" i="24" s="1"/>
  <c r="E1058" i="24"/>
  <c r="D1056" i="20"/>
  <c r="D1057" i="20" s="1"/>
  <c r="F1057" i="20"/>
  <c r="C1055" i="20"/>
  <c r="F1056" i="15"/>
  <c r="F1050" i="15"/>
  <c r="C1049" i="15"/>
  <c r="D1050" i="15"/>
  <c r="C1059" i="24" l="1"/>
  <c r="E1062" i="24"/>
  <c r="F1051" i="15"/>
  <c r="D1051" i="15"/>
  <c r="D1058" i="20"/>
  <c r="F1061" i="20"/>
  <c r="C1057" i="20"/>
  <c r="E1060" i="24" l="1"/>
  <c r="C1060" i="24"/>
  <c r="F1059" i="20"/>
  <c r="D1059" i="20"/>
  <c r="F1052" i="15"/>
  <c r="D1052" i="15"/>
  <c r="E1061" i="24" l="1"/>
  <c r="C1061" i="24"/>
  <c r="C1062" i="24" s="1"/>
  <c r="A1062" i="24" s="1"/>
  <c r="F1053" i="15"/>
  <c r="D1053" i="15"/>
  <c r="F1060" i="20"/>
  <c r="D1060" i="20"/>
  <c r="D1061" i="20" s="1"/>
  <c r="C1063" i="24" l="1"/>
  <c r="E1068" i="24"/>
  <c r="D1062" i="20"/>
  <c r="F1067" i="20"/>
  <c r="C1061" i="20"/>
  <c r="F1054" i="15"/>
  <c r="D1054" i="15"/>
  <c r="C1064" i="24" l="1"/>
  <c r="E1064" i="24"/>
  <c r="F1055" i="15"/>
  <c r="D1055" i="15"/>
  <c r="D1056" i="15" s="1"/>
  <c r="F1063" i="20"/>
  <c r="D1063" i="20"/>
  <c r="C1065" i="24" l="1"/>
  <c r="E1065" i="24"/>
  <c r="F1064" i="20"/>
  <c r="D1064" i="20"/>
  <c r="D1057" i="15"/>
  <c r="D1058" i="15" s="1"/>
  <c r="F1058" i="15"/>
  <c r="F1057" i="15"/>
  <c r="C1056" i="15"/>
  <c r="C1066" i="24" l="1"/>
  <c r="E1066" i="24"/>
  <c r="D1059" i="15"/>
  <c r="C1058" i="15"/>
  <c r="F1062" i="15"/>
  <c r="F1059" i="15"/>
  <c r="F1065" i="20"/>
  <c r="D1065" i="20"/>
  <c r="C1067" i="24" l="1"/>
  <c r="C1068" i="24" s="1"/>
  <c r="A1068" i="24" s="1"/>
  <c r="E1067" i="24"/>
  <c r="F1066" i="20"/>
  <c r="D1066" i="20"/>
  <c r="D1067" i="20" s="1"/>
  <c r="F1060" i="15"/>
  <c r="D1060" i="15"/>
  <c r="C1069" i="24" l="1"/>
  <c r="E1073" i="24"/>
  <c r="F1072" i="20"/>
  <c r="C1067" i="20"/>
  <c r="D1068" i="20"/>
  <c r="F1061" i="15"/>
  <c r="D1061" i="15"/>
  <c r="D1062" i="15" s="1"/>
  <c r="E1070" i="24" l="1"/>
  <c r="C1070" i="24"/>
  <c r="F1069" i="20"/>
  <c r="D1069" i="20"/>
  <c r="F1063" i="15"/>
  <c r="C1062" i="15"/>
  <c r="D1063" i="15"/>
  <c r="F1068" i="15"/>
  <c r="C1071" i="24" l="1"/>
  <c r="E1071" i="24"/>
  <c r="F1070" i="20"/>
  <c r="D1070" i="20"/>
  <c r="F1064" i="15"/>
  <c r="D1064" i="15"/>
  <c r="C1072" i="24" l="1"/>
  <c r="C1073" i="24" s="1"/>
  <c r="A1073" i="24" s="1"/>
  <c r="E1072" i="24"/>
  <c r="F1071" i="20"/>
  <c r="D1071" i="20"/>
  <c r="D1072" i="20" s="1"/>
  <c r="F1065" i="15"/>
  <c r="D1065" i="15"/>
  <c r="E1079" i="24" l="1"/>
  <c r="C1074" i="24"/>
  <c r="F1066" i="15"/>
  <c r="D1066" i="15"/>
  <c r="D1073" i="20"/>
  <c r="C1072" i="20"/>
  <c r="F1078" i="20" s="1"/>
  <c r="E1075" i="24" l="1"/>
  <c r="C1075" i="24"/>
  <c r="F1074" i="20"/>
  <c r="D1074" i="20"/>
  <c r="D1067" i="15"/>
  <c r="D1068" i="15" s="1"/>
  <c r="F1067" i="15"/>
  <c r="E1076" i="24" l="1"/>
  <c r="C1076" i="24"/>
  <c r="F1069" i="15"/>
  <c r="C1068" i="15"/>
  <c r="D1069" i="15"/>
  <c r="F1073" i="15"/>
  <c r="F1075" i="20"/>
  <c r="D1075" i="20"/>
  <c r="E1077" i="24" l="1"/>
  <c r="C1077" i="24"/>
  <c r="F1070" i="15"/>
  <c r="D1070" i="15"/>
  <c r="F1076" i="20"/>
  <c r="D1076" i="20"/>
  <c r="E1078" i="24" l="1"/>
  <c r="C1078" i="24"/>
  <c r="C1079" i="24" s="1"/>
  <c r="A1079" i="24" s="1"/>
  <c r="F1077" i="20"/>
  <c r="D1077" i="20"/>
  <c r="D1078" i="20" s="1"/>
  <c r="F1071" i="15"/>
  <c r="D1071" i="15"/>
  <c r="E1081" i="24" l="1"/>
  <c r="C1080" i="24"/>
  <c r="C1081" i="24" s="1"/>
  <c r="A1081" i="24" s="1"/>
  <c r="F1072" i="15"/>
  <c r="D1072" i="15"/>
  <c r="D1073" i="15" s="1"/>
  <c r="D1079" i="20"/>
  <c r="D1080" i="20" s="1"/>
  <c r="C1078" i="20"/>
  <c r="F1080" i="20" s="1"/>
  <c r="E1084" i="24" l="1"/>
  <c r="C1082" i="24"/>
  <c r="D1081" i="20"/>
  <c r="C1080" i="20"/>
  <c r="F1083" i="20" s="1"/>
  <c r="F1074" i="15"/>
  <c r="C1073" i="15"/>
  <c r="D1074" i="15"/>
  <c r="F1079" i="15"/>
  <c r="E1083" i="24" l="1"/>
  <c r="C1083" i="24"/>
  <c r="C1084" i="24" s="1"/>
  <c r="A1084" i="24" s="1"/>
  <c r="F1075" i="15"/>
  <c r="D1075" i="15"/>
  <c r="F1082" i="20"/>
  <c r="D1082" i="20"/>
  <c r="D1083" i="20" s="1"/>
  <c r="C1085" i="24" l="1"/>
  <c r="E1087" i="24"/>
  <c r="C1083" i="20"/>
  <c r="F1086" i="20" s="1"/>
  <c r="D1084" i="20"/>
  <c r="F1076" i="15"/>
  <c r="D1076" i="15"/>
  <c r="E1086" i="24" l="1"/>
  <c r="C1086" i="24"/>
  <c r="C1087" i="24" s="1"/>
  <c r="A1087" i="24" s="1"/>
  <c r="F1077" i="15"/>
  <c r="D1077" i="15"/>
  <c r="D1085" i="20"/>
  <c r="D1086" i="20" s="1"/>
  <c r="F1085" i="20"/>
  <c r="E1090" i="24" l="1"/>
  <c r="C1088" i="24"/>
  <c r="C1086" i="20"/>
  <c r="F1089" i="20" s="1"/>
  <c r="D1087" i="20"/>
  <c r="D1078" i="15"/>
  <c r="D1079" i="15" s="1"/>
  <c r="F1078" i="15"/>
  <c r="C1089" i="24" l="1"/>
  <c r="C1090" i="24" s="1"/>
  <c r="A1090" i="24" s="1"/>
  <c r="E1089" i="24"/>
  <c r="F1080" i="15"/>
  <c r="C1079" i="15"/>
  <c r="D1080" i="15"/>
  <c r="D1081" i="15" s="1"/>
  <c r="F1081" i="15"/>
  <c r="F1088" i="20"/>
  <c r="D1088" i="20"/>
  <c r="D1089" i="20" s="1"/>
  <c r="E1093" i="24" l="1"/>
  <c r="C1091" i="24"/>
  <c r="F1082" i="15"/>
  <c r="C1081" i="15"/>
  <c r="F1084" i="15"/>
  <c r="D1082" i="15"/>
  <c r="D1090" i="20"/>
  <c r="C1089" i="20"/>
  <c r="F1092" i="20" s="1"/>
  <c r="E1092" i="24" l="1"/>
  <c r="C1092" i="24"/>
  <c r="F1083" i="15"/>
  <c r="D1083" i="15"/>
  <c r="D1084" i="15" s="1"/>
  <c r="F1091" i="20"/>
  <c r="D1091" i="20"/>
  <c r="C1103" i="24" l="1"/>
  <c r="A1103" i="24" s="1"/>
  <c r="C1093" i="24"/>
  <c r="A1093" i="24" s="1"/>
  <c r="F1085" i="15"/>
  <c r="C1084" i="15"/>
  <c r="F1087" i="15"/>
  <c r="D1085" i="15"/>
  <c r="D1092" i="20"/>
  <c r="D1102" i="20"/>
  <c r="C1104" i="24" l="1"/>
  <c r="E1106" i="24"/>
  <c r="C1094" i="24"/>
  <c r="C1095" i="24" s="1"/>
  <c r="C1096" i="24" s="1"/>
  <c r="C1097" i="24" s="1"/>
  <c r="C1098" i="24" s="1"/>
  <c r="C1099" i="24" s="1"/>
  <c r="C1100" i="24" s="1"/>
  <c r="E1103" i="24"/>
  <c r="D1086" i="15"/>
  <c r="D1087" i="15" s="1"/>
  <c r="F1086" i="15"/>
  <c r="C1102" i="20"/>
  <c r="F1105" i="20" s="1"/>
  <c r="D1103" i="20"/>
  <c r="D1093" i="20"/>
  <c r="D1094" i="20" s="1"/>
  <c r="D1095" i="20" s="1"/>
  <c r="D1096" i="20" s="1"/>
  <c r="D1097" i="20" s="1"/>
  <c r="D1098" i="20" s="1"/>
  <c r="D1099" i="20" s="1"/>
  <c r="C1092" i="20"/>
  <c r="F1102" i="20" s="1"/>
  <c r="C1105" i="24" l="1"/>
  <c r="C1106" i="24" s="1"/>
  <c r="A1106" i="24" s="1"/>
  <c r="E1105" i="24"/>
  <c r="C1101" i="24"/>
  <c r="C1102" i="24" s="1"/>
  <c r="E1034" i="24" s="1"/>
  <c r="E856" i="24"/>
  <c r="E682" i="24"/>
  <c r="F1104" i="20"/>
  <c r="D1104" i="20"/>
  <c r="D1105" i="20" s="1"/>
  <c r="D1100" i="20"/>
  <c r="D1101" i="20" s="1"/>
  <c r="F1033" i="20" s="1"/>
  <c r="F855" i="20"/>
  <c r="F681" i="20"/>
  <c r="D1088" i="15"/>
  <c r="F1090" i="15"/>
  <c r="F1088" i="15"/>
  <c r="C1087" i="15"/>
  <c r="C1107" i="24" l="1"/>
  <c r="E1116" i="24"/>
  <c r="F1089" i="15"/>
  <c r="D1089" i="15"/>
  <c r="D1090" i="15" s="1"/>
  <c r="C1105" i="20"/>
  <c r="F1115" i="20" s="1"/>
  <c r="D1106" i="20"/>
  <c r="C1108" i="24" l="1"/>
  <c r="E1108" i="24"/>
  <c r="F1107" i="20"/>
  <c r="D1107" i="20"/>
  <c r="F1091" i="15"/>
  <c r="C1090" i="15"/>
  <c r="F1093" i="15"/>
  <c r="D1091" i="15"/>
  <c r="E1109" i="24" l="1"/>
  <c r="C1109" i="24"/>
  <c r="D1092" i="15"/>
  <c r="D1093" i="15" s="1"/>
  <c r="F1092" i="15"/>
  <c r="D1108" i="20"/>
  <c r="F1108" i="20"/>
  <c r="E1110" i="24" l="1"/>
  <c r="C1110" i="24"/>
  <c r="F1109" i="20"/>
  <c r="D1109" i="20"/>
  <c r="D1094" i="15"/>
  <c r="F1096" i="15"/>
  <c r="C1093" i="15"/>
  <c r="F1094" i="15"/>
  <c r="E1111" i="24" l="1"/>
  <c r="C1111" i="24"/>
  <c r="D1110" i="20"/>
  <c r="F1110" i="20"/>
  <c r="D1095" i="15"/>
  <c r="D1096" i="15" s="1"/>
  <c r="F1095" i="15"/>
  <c r="C1112" i="24" l="1"/>
  <c r="E1112" i="24"/>
  <c r="F1097" i="15"/>
  <c r="C1096" i="15"/>
  <c r="D1097" i="15"/>
  <c r="F1111" i="20"/>
  <c r="D1111" i="20"/>
  <c r="E1113" i="24" l="1"/>
  <c r="C1113" i="24"/>
  <c r="F1098" i="15"/>
  <c r="D1098" i="15"/>
  <c r="F1112" i="20"/>
  <c r="D1112" i="20"/>
  <c r="E1114" i="24" l="1"/>
  <c r="C1114" i="24"/>
  <c r="F1099" i="15"/>
  <c r="D1099" i="15"/>
  <c r="D1113" i="20"/>
  <c r="F1113" i="20"/>
  <c r="C1115" i="24" l="1"/>
  <c r="C1116" i="24" s="1"/>
  <c r="A1116" i="24" s="1"/>
  <c r="E1115" i="24"/>
  <c r="F1100" i="15"/>
  <c r="D1100" i="15"/>
  <c r="F1114" i="20"/>
  <c r="D1114" i="20"/>
  <c r="D1115" i="20" s="1"/>
  <c r="E1119" i="24" l="1"/>
  <c r="C1117" i="24"/>
  <c r="D1116" i="20"/>
  <c r="C1115" i="20"/>
  <c r="F1118" i="20" s="1"/>
  <c r="F1101" i="15"/>
  <c r="D1101" i="15"/>
  <c r="C1118" i="24" l="1"/>
  <c r="C1119" i="24" s="1"/>
  <c r="A1119" i="24" s="1"/>
  <c r="E1118" i="24"/>
  <c r="F1102" i="15"/>
  <c r="D1102" i="15"/>
  <c r="F1117" i="20"/>
  <c r="D1117" i="20"/>
  <c r="D1118" i="20" s="1"/>
  <c r="C1120" i="24" l="1"/>
  <c r="E1122" i="24"/>
  <c r="F1103" i="15"/>
  <c r="D1103" i="15"/>
  <c r="C1118" i="20"/>
  <c r="F1121" i="20" s="1"/>
  <c r="D1119" i="20"/>
  <c r="E1121" i="24" l="1"/>
  <c r="C1121" i="24"/>
  <c r="C1122" i="24" s="1"/>
  <c r="A1122" i="24" s="1"/>
  <c r="F1120" i="20"/>
  <c r="D1120" i="20"/>
  <c r="D1121" i="20" s="1"/>
  <c r="D1104" i="15"/>
  <c r="F1104" i="15"/>
  <c r="C1123" i="24" l="1"/>
  <c r="E1126" i="24"/>
  <c r="F1105" i="15"/>
  <c r="D1105" i="15"/>
  <c r="D1106" i="15" s="1"/>
  <c r="F1106" i="15"/>
  <c r="C1121" i="20"/>
  <c r="F1125" i="20" s="1"/>
  <c r="D1122" i="20"/>
  <c r="C1124" i="24" l="1"/>
  <c r="E1124" i="24"/>
  <c r="F1116" i="15"/>
  <c r="D1107" i="15"/>
  <c r="D1108" i="15" s="1"/>
  <c r="D1109" i="15" s="1"/>
  <c r="D1110" i="15" s="1"/>
  <c r="D1111" i="15" s="1"/>
  <c r="D1112" i="15" s="1"/>
  <c r="D1113" i="15" s="1"/>
  <c r="D1114" i="15" s="1"/>
  <c r="D1115" i="15" s="1"/>
  <c r="D1116" i="15" s="1"/>
  <c r="C1106" i="15"/>
  <c r="F1123" i="20"/>
  <c r="D1123" i="20"/>
  <c r="E1125" i="24" l="1"/>
  <c r="C1125" i="24"/>
  <c r="C1126" i="24" s="1"/>
  <c r="A1126" i="24" s="1"/>
  <c r="F1117" i="15"/>
  <c r="C1116" i="15"/>
  <c r="F1119" i="15"/>
  <c r="D1117" i="15"/>
  <c r="F1124" i="20"/>
  <c r="D1124" i="20"/>
  <c r="D1125" i="20" s="1"/>
  <c r="E1129" i="24" l="1"/>
  <c r="C1127" i="24"/>
  <c r="F1118" i="15"/>
  <c r="D1118" i="15"/>
  <c r="D1119" i="15" s="1"/>
  <c r="D1126" i="20"/>
  <c r="C1125" i="20"/>
  <c r="F1128" i="20" s="1"/>
  <c r="E1128" i="24" l="1"/>
  <c r="C1128" i="24"/>
  <c r="C1129" i="24" s="1"/>
  <c r="A1129" i="24" s="1"/>
  <c r="D1127" i="20"/>
  <c r="D1128" i="20" s="1"/>
  <c r="F1127" i="20"/>
  <c r="F1120" i="15"/>
  <c r="C1119" i="15"/>
  <c r="D1120" i="15"/>
  <c r="F1122" i="15"/>
  <c r="C1130" i="24" l="1"/>
  <c r="A1130" i="24" s="1"/>
  <c r="D1121" i="15"/>
  <c r="D1122" i="15" s="1"/>
  <c r="F1121" i="15"/>
  <c r="D1129" i="20"/>
  <c r="C1128" i="20"/>
  <c r="C1131" i="24" l="1"/>
  <c r="E1137" i="24"/>
  <c r="C1129" i="20"/>
  <c r="F1136" i="20" s="1"/>
  <c r="D1130" i="20"/>
  <c r="F1123" i="15"/>
  <c r="C1122" i="15"/>
  <c r="F1126" i="15"/>
  <c r="D1123" i="15"/>
  <c r="E1132" i="24" l="1"/>
  <c r="C1132" i="24"/>
  <c r="F1124" i="15"/>
  <c r="D1124" i="15"/>
  <c r="F1131" i="20"/>
  <c r="D1131" i="20"/>
  <c r="E1133" i="24" l="1"/>
  <c r="C1133" i="24"/>
  <c r="F1132" i="20"/>
  <c r="D1132" i="20"/>
  <c r="F1125" i="15"/>
  <c r="D1125" i="15"/>
  <c r="D1126" i="15" s="1"/>
  <c r="E1134" i="24" l="1"/>
  <c r="C1134" i="24"/>
  <c r="F1127" i="15"/>
  <c r="C1126" i="15"/>
  <c r="D1127" i="15"/>
  <c r="F1129" i="15"/>
  <c r="F1133" i="20"/>
  <c r="D1133" i="20"/>
  <c r="E1135" i="24" l="1"/>
  <c r="C1135" i="24"/>
  <c r="F1128" i="15"/>
  <c r="D1128" i="15"/>
  <c r="D1129" i="15" s="1"/>
  <c r="F1134" i="20"/>
  <c r="D1134" i="20"/>
  <c r="E1136" i="24" l="1"/>
  <c r="C1136" i="24"/>
  <c r="C1137" i="24" s="1"/>
  <c r="A1137" i="24" s="1"/>
  <c r="F1135" i="20"/>
  <c r="D1135" i="20"/>
  <c r="D1136" i="20" s="1"/>
  <c r="D1130" i="15"/>
  <c r="C1129" i="15"/>
  <c r="C1138" i="24" l="1"/>
  <c r="E1142" i="24"/>
  <c r="C1136" i="20"/>
  <c r="F1141" i="20" s="1"/>
  <c r="D1137" i="20"/>
  <c r="D1131" i="15"/>
  <c r="C1130" i="15"/>
  <c r="F1137" i="15"/>
  <c r="F1131" i="15"/>
  <c r="E1139" i="24" l="1"/>
  <c r="C1139" i="24"/>
  <c r="F1138" i="20"/>
  <c r="D1138" i="20"/>
  <c r="F1132" i="15"/>
  <c r="D1132" i="15"/>
  <c r="C1140" i="24" l="1"/>
  <c r="E1140" i="24"/>
  <c r="D1133" i="15"/>
  <c r="F1133" i="15"/>
  <c r="F1139" i="20"/>
  <c r="D1139" i="20"/>
  <c r="E1141" i="24" l="1"/>
  <c r="C1141" i="24"/>
  <c r="C1142" i="24" s="1"/>
  <c r="A1142" i="24" s="1"/>
  <c r="D1140" i="20"/>
  <c r="D1141" i="20" s="1"/>
  <c r="F1140" i="20"/>
  <c r="F1134" i="15"/>
  <c r="D1134" i="15"/>
  <c r="E1145" i="24" l="1"/>
  <c r="C1143" i="24"/>
  <c r="F1135" i="15"/>
  <c r="D1135" i="15"/>
  <c r="C1141" i="20"/>
  <c r="F1144" i="20" s="1"/>
  <c r="D1142" i="20"/>
  <c r="E1144" i="24" l="1"/>
  <c r="C1144" i="24"/>
  <c r="C1145" i="24" s="1"/>
  <c r="A1145" i="24" s="1"/>
  <c r="F1136" i="15"/>
  <c r="D1136" i="15"/>
  <c r="D1137" i="15" s="1"/>
  <c r="F1143" i="20"/>
  <c r="D1143" i="20"/>
  <c r="D1144" i="20" s="1"/>
  <c r="E1152" i="24" l="1"/>
  <c r="C1146" i="24"/>
  <c r="C1144" i="20"/>
  <c r="F1151" i="20" s="1"/>
  <c r="D1145" i="20"/>
  <c r="F1142" i="15"/>
  <c r="F1138" i="15"/>
  <c r="C1137" i="15"/>
  <c r="D1138" i="15"/>
  <c r="E1147" i="24" l="1"/>
  <c r="C1147" i="24"/>
  <c r="D1139" i="15"/>
  <c r="F1139" i="15"/>
  <c r="D1146" i="20"/>
  <c r="F1146" i="20"/>
  <c r="E1148" i="24" l="1"/>
  <c r="C1148" i="24"/>
  <c r="D1140" i="15"/>
  <c r="F1140" i="15"/>
  <c r="D1147" i="20"/>
  <c r="F1147" i="20"/>
  <c r="E1149" i="24" l="1"/>
  <c r="C1149" i="24"/>
  <c r="D1148" i="20"/>
  <c r="F1148" i="20"/>
  <c r="D1141" i="15"/>
  <c r="D1142" i="15" s="1"/>
  <c r="F1141" i="15"/>
  <c r="E1150" i="24" l="1"/>
  <c r="C1150" i="24"/>
  <c r="F1145" i="15"/>
  <c r="F1143" i="15"/>
  <c r="C1142" i="15"/>
  <c r="D1143" i="15"/>
  <c r="D1149" i="20"/>
  <c r="F1149" i="20"/>
  <c r="E1151" i="24" l="1"/>
  <c r="C1151" i="24"/>
  <c r="C1152" i="24" s="1"/>
  <c r="A1152" i="24" s="1"/>
  <c r="D1150" i="20"/>
  <c r="D1151" i="20" s="1"/>
  <c r="F1150" i="20"/>
  <c r="F1144" i="15"/>
  <c r="D1144" i="15"/>
  <c r="D1145" i="15" s="1"/>
  <c r="C1153" i="24" l="1"/>
  <c r="C1154" i="24" s="1"/>
  <c r="A1154" i="24" s="1"/>
  <c r="E1154" i="24"/>
  <c r="D1146" i="15"/>
  <c r="F1152" i="15"/>
  <c r="F1146" i="15"/>
  <c r="C1145" i="15"/>
  <c r="C1151" i="20"/>
  <c r="F1153" i="20" s="1"/>
  <c r="D1152" i="20"/>
  <c r="D1153" i="20" s="1"/>
  <c r="C1155" i="24" l="1"/>
  <c r="E1158" i="24"/>
  <c r="C1153" i="20"/>
  <c r="F1157" i="20" s="1"/>
  <c r="D1154" i="20"/>
  <c r="F1147" i="15"/>
  <c r="D1147" i="15"/>
  <c r="E1156" i="24" l="1"/>
  <c r="C1156" i="24"/>
  <c r="F1148" i="15"/>
  <c r="D1148" i="15"/>
  <c r="D1155" i="20"/>
  <c r="F1155" i="20"/>
  <c r="E1157" i="24" l="1"/>
  <c r="C1157" i="24"/>
  <c r="C1158" i="24" s="1"/>
  <c r="A1158" i="24" s="1"/>
  <c r="D1156" i="20"/>
  <c r="D1157" i="20" s="1"/>
  <c r="F1156" i="20"/>
  <c r="D1149" i="15"/>
  <c r="F1149" i="15"/>
  <c r="E1164" i="24" l="1"/>
  <c r="C1159" i="24"/>
  <c r="F1150" i="15"/>
  <c r="D1150" i="15"/>
  <c r="C1157" i="20"/>
  <c r="F1163" i="20" s="1"/>
  <c r="D1158" i="20"/>
  <c r="C1160" i="24" l="1"/>
  <c r="E1160" i="24"/>
  <c r="F1159" i="20"/>
  <c r="D1159" i="20"/>
  <c r="F1151" i="15"/>
  <c r="D1151" i="15"/>
  <c r="D1152" i="15" s="1"/>
  <c r="C1161" i="24" l="1"/>
  <c r="E1161" i="24"/>
  <c r="F1153" i="15"/>
  <c r="C1152" i="15"/>
  <c r="D1153" i="15"/>
  <c r="D1154" i="15" s="1"/>
  <c r="F1154" i="15"/>
  <c r="F1160" i="20"/>
  <c r="D1160" i="20"/>
  <c r="C1162" i="24" l="1"/>
  <c r="E1162" i="24"/>
  <c r="F1158" i="15"/>
  <c r="F1155" i="15"/>
  <c r="C1154" i="15"/>
  <c r="D1155" i="15"/>
  <c r="F1161" i="20"/>
  <c r="D1161" i="20"/>
  <c r="C1163" i="24" l="1"/>
  <c r="C1164" i="24" s="1"/>
  <c r="A1164" i="24" s="1"/>
  <c r="E1163" i="24"/>
  <c r="F1156" i="15"/>
  <c r="D1156" i="15"/>
  <c r="F1162" i="20"/>
  <c r="D1162" i="20"/>
  <c r="D1163" i="20" s="1"/>
  <c r="C1165" i="24" l="1"/>
  <c r="E1169" i="24"/>
  <c r="D1157" i="15"/>
  <c r="D1158" i="15" s="1"/>
  <c r="F1157" i="15"/>
  <c r="D1164" i="20"/>
  <c r="C1163" i="20"/>
  <c r="F1168" i="20" s="1"/>
  <c r="E1166" i="24" l="1"/>
  <c r="C1166" i="24"/>
  <c r="F1165" i="20"/>
  <c r="D1165" i="20"/>
  <c r="F1164" i="15"/>
  <c r="F1159" i="15"/>
  <c r="C1158" i="15"/>
  <c r="D1159" i="15"/>
  <c r="E1167" i="24" l="1"/>
  <c r="C1167" i="24"/>
  <c r="F1166" i="20"/>
  <c r="D1166" i="20"/>
  <c r="F1160" i="15"/>
  <c r="D1160" i="15"/>
  <c r="E1168" i="24" l="1"/>
  <c r="C1168" i="24"/>
  <c r="C1169" i="24" s="1"/>
  <c r="A1169" i="24" s="1"/>
  <c r="F1161" i="15"/>
  <c r="D1161" i="15"/>
  <c r="F1167" i="20"/>
  <c r="D1167" i="20"/>
  <c r="D1168" i="20" s="1"/>
  <c r="C1170" i="24" l="1"/>
  <c r="E1175" i="24"/>
  <c r="D1162" i="15"/>
  <c r="F1162" i="15"/>
  <c r="C1168" i="20"/>
  <c r="F1174" i="20" s="1"/>
  <c r="D1169" i="20"/>
  <c r="C1171" i="24" l="1"/>
  <c r="E1171" i="24"/>
  <c r="D1170" i="20"/>
  <c r="F1170" i="20"/>
  <c r="F1163" i="15"/>
  <c r="D1163" i="15"/>
  <c r="D1164" i="15" s="1"/>
  <c r="E1172" i="24" l="1"/>
  <c r="C1172" i="24"/>
  <c r="F1165" i="15"/>
  <c r="C1164" i="15"/>
  <c r="F1169" i="15"/>
  <c r="D1165" i="15"/>
  <c r="D1171" i="20"/>
  <c r="F1171" i="20"/>
  <c r="C1173" i="24" l="1"/>
  <c r="E1173" i="24"/>
  <c r="D1166" i="15"/>
  <c r="F1166" i="15"/>
  <c r="D1172" i="20"/>
  <c r="F1172" i="20"/>
  <c r="E1174" i="24" l="1"/>
  <c r="C1174" i="24"/>
  <c r="C1175" i="24" s="1"/>
  <c r="A1175" i="24" s="1"/>
  <c r="D1173" i="20"/>
  <c r="D1174" i="20" s="1"/>
  <c r="F1173" i="20"/>
  <c r="F1167" i="15"/>
  <c r="D1167" i="15"/>
  <c r="C1176" i="24" l="1"/>
  <c r="C1177" i="24" s="1"/>
  <c r="A1177" i="24" s="1"/>
  <c r="E1177" i="24"/>
  <c r="F1168" i="15"/>
  <c r="D1168" i="15"/>
  <c r="D1169" i="15" s="1"/>
  <c r="C1174" i="20"/>
  <c r="D1175" i="20"/>
  <c r="D1176" i="20" s="1"/>
  <c r="F1176" i="20"/>
  <c r="E1180" i="24" l="1"/>
  <c r="C1178" i="24"/>
  <c r="F1179" i="20"/>
  <c r="C1176" i="20"/>
  <c r="D1177" i="20"/>
  <c r="F1175" i="15"/>
  <c r="F1170" i="15"/>
  <c r="C1169" i="15"/>
  <c r="D1170" i="15"/>
  <c r="C1179" i="24" l="1"/>
  <c r="C1180" i="24" s="1"/>
  <c r="A1180" i="24" s="1"/>
  <c r="E1179" i="24"/>
  <c r="F1178" i="20"/>
  <c r="D1178" i="20"/>
  <c r="D1179" i="20" s="1"/>
  <c r="F1171" i="15"/>
  <c r="D1171" i="15"/>
  <c r="E1183" i="24" l="1"/>
  <c r="C1181" i="24"/>
  <c r="D1180" i="20"/>
  <c r="F1182" i="20"/>
  <c r="C1179" i="20"/>
  <c r="F1172" i="15"/>
  <c r="D1172" i="15"/>
  <c r="E1182" i="24" l="1"/>
  <c r="C1182" i="24"/>
  <c r="C1183" i="24" s="1"/>
  <c r="A1183" i="24" s="1"/>
  <c r="F1173" i="15"/>
  <c r="D1173" i="15"/>
  <c r="D1181" i="20"/>
  <c r="D1182" i="20" s="1"/>
  <c r="F1181" i="20"/>
  <c r="E1186" i="24" l="1"/>
  <c r="C1184" i="24"/>
  <c r="D1183" i="20"/>
  <c r="F1185" i="20"/>
  <c r="C1182" i="20"/>
  <c r="D1174" i="15"/>
  <c r="D1175" i="15" s="1"/>
  <c r="F1174" i="15"/>
  <c r="E1185" i="24" l="1"/>
  <c r="C1185" i="24"/>
  <c r="C1186" i="24" s="1"/>
  <c r="A1186" i="24" s="1"/>
  <c r="F1177" i="15"/>
  <c r="D1176" i="15"/>
  <c r="D1177" i="15" s="1"/>
  <c r="C1175" i="15"/>
  <c r="F1176" i="15"/>
  <c r="D1184" i="20"/>
  <c r="D1185" i="20" s="1"/>
  <c r="F1184" i="20"/>
  <c r="E1189" i="24" l="1"/>
  <c r="C1187" i="24"/>
  <c r="F1178" i="15"/>
  <c r="C1177" i="15"/>
  <c r="F1180" i="15"/>
  <c r="D1178" i="15"/>
  <c r="D1186" i="20"/>
  <c r="F1188" i="20"/>
  <c r="C1185" i="20"/>
  <c r="C1188" i="24" l="1"/>
  <c r="C1189" i="24" s="1"/>
  <c r="A1189" i="24" s="1"/>
  <c r="E1188" i="24"/>
  <c r="F1179" i="15"/>
  <c r="D1179" i="15"/>
  <c r="D1180" i="15" s="1"/>
  <c r="F1187" i="20"/>
  <c r="D1187" i="20"/>
  <c r="D1188" i="20" s="1"/>
  <c r="C1190" i="24" l="1"/>
  <c r="E1192" i="24"/>
  <c r="F1183" i="15"/>
  <c r="F1181" i="15"/>
  <c r="C1180" i="15"/>
  <c r="D1181" i="15"/>
  <c r="F1191" i="20"/>
  <c r="C1188" i="20"/>
  <c r="D1189" i="20"/>
  <c r="C1191" i="24" l="1"/>
  <c r="C1192" i="24" s="1"/>
  <c r="A1192" i="24" s="1"/>
  <c r="E1191" i="24"/>
  <c r="D1190" i="20"/>
  <c r="D1191" i="20" s="1"/>
  <c r="F1190" i="20"/>
  <c r="F1182" i="15"/>
  <c r="D1182" i="15"/>
  <c r="D1183" i="15" s="1"/>
  <c r="C1193" i="24" l="1"/>
  <c r="E1199" i="24"/>
  <c r="F1186" i="15"/>
  <c r="F1184" i="15"/>
  <c r="C1183" i="15"/>
  <c r="D1184" i="15"/>
  <c r="C1191" i="20"/>
  <c r="F1198" i="20"/>
  <c r="D1192" i="20"/>
  <c r="E1194" i="24" l="1"/>
  <c r="C1194" i="24"/>
  <c r="F1185" i="15"/>
  <c r="D1185" i="15"/>
  <c r="D1186" i="15" s="1"/>
  <c r="F1193" i="20"/>
  <c r="D1193" i="20"/>
  <c r="E1195" i="24" l="1"/>
  <c r="C1195" i="24"/>
  <c r="F1194" i="20"/>
  <c r="D1194" i="20"/>
  <c r="D1187" i="15"/>
  <c r="F1189" i="15"/>
  <c r="F1187" i="15"/>
  <c r="C1186" i="15"/>
  <c r="E1196" i="24" l="1"/>
  <c r="C1196" i="24"/>
  <c r="F1188" i="15"/>
  <c r="D1188" i="15"/>
  <c r="D1189" i="15" s="1"/>
  <c r="F1195" i="20"/>
  <c r="D1195" i="20"/>
  <c r="C1197" i="24" l="1"/>
  <c r="E1197" i="24"/>
  <c r="F1196" i="20"/>
  <c r="D1196" i="20"/>
  <c r="F1190" i="15"/>
  <c r="C1189" i="15"/>
  <c r="F1192" i="15"/>
  <c r="D1190" i="15"/>
  <c r="C1198" i="24" l="1"/>
  <c r="C1199" i="24" s="1"/>
  <c r="A1199" i="24" s="1"/>
  <c r="E1198" i="24"/>
  <c r="F1191" i="15"/>
  <c r="D1191" i="15"/>
  <c r="D1192" i="15" s="1"/>
  <c r="F1197" i="20"/>
  <c r="D1197" i="20"/>
  <c r="D1198" i="20" s="1"/>
  <c r="C1200" i="24" l="1"/>
  <c r="C1198" i="20"/>
  <c r="D1199" i="20"/>
  <c r="F1193" i="15"/>
  <c r="C1192" i="15"/>
  <c r="D1193" i="15"/>
  <c r="F1199" i="15"/>
  <c r="E1201" i="24" l="1"/>
  <c r="C1201" i="24"/>
  <c r="C1202" i="24" s="1"/>
  <c r="A1202" i="24" s="1"/>
  <c r="D1200" i="20"/>
  <c r="D1201" i="20" s="1"/>
  <c r="F1200" i="20"/>
  <c r="D1194" i="15"/>
  <c r="F1194" i="15"/>
  <c r="C1203" i="24" l="1"/>
  <c r="A1203" i="24" s="1"/>
  <c r="F1195" i="15"/>
  <c r="D1195" i="15"/>
  <c r="C1201" i="20"/>
  <c r="D1202" i="20"/>
  <c r="C1204" i="24" l="1"/>
  <c r="E1209" i="24"/>
  <c r="F1208" i="20"/>
  <c r="C1202" i="20"/>
  <c r="D1203" i="20"/>
  <c r="F1196" i="15"/>
  <c r="D1196" i="15"/>
  <c r="C1205" i="24" l="1"/>
  <c r="E1205" i="24"/>
  <c r="F1204" i="20"/>
  <c r="D1204" i="20"/>
  <c r="F1197" i="15"/>
  <c r="D1197" i="15"/>
  <c r="E1206" i="24" l="1"/>
  <c r="C1206" i="24"/>
  <c r="F1198" i="15"/>
  <c r="D1198" i="15"/>
  <c r="D1199" i="15" s="1"/>
  <c r="F1205" i="20"/>
  <c r="D1205" i="20"/>
  <c r="C1207" i="24" l="1"/>
  <c r="E1207" i="24"/>
  <c r="F1206" i="20"/>
  <c r="D1206" i="20"/>
  <c r="F1200" i="15"/>
  <c r="C1199" i="15"/>
  <c r="D1200" i="15"/>
  <c r="E1208" i="24" l="1"/>
  <c r="C1208" i="24"/>
  <c r="C1209" i="24" s="1"/>
  <c r="A1209" i="24" s="1"/>
  <c r="F1207" i="20"/>
  <c r="D1207" i="20"/>
  <c r="D1208" i="20" s="1"/>
  <c r="F1201" i="15"/>
  <c r="D1201" i="15"/>
  <c r="D1202" i="15" s="1"/>
  <c r="E1212" i="24" l="1"/>
  <c r="E1210" i="24"/>
  <c r="C1210" i="24"/>
  <c r="C1202" i="15"/>
  <c r="D1203" i="15"/>
  <c r="F1209" i="20"/>
  <c r="C1208" i="20"/>
  <c r="F1211" i="20"/>
  <c r="D1209" i="20"/>
  <c r="E1211" i="24" l="1"/>
  <c r="C1211" i="24"/>
  <c r="C1212" i="24" s="1"/>
  <c r="A1212" i="24" s="1"/>
  <c r="D1210" i="20"/>
  <c r="D1211" i="20" s="1"/>
  <c r="F1210" i="20"/>
  <c r="F1209" i="15"/>
  <c r="F1204" i="15"/>
  <c r="C1203" i="15"/>
  <c r="D1204" i="15"/>
  <c r="E1213" i="24" l="1"/>
  <c r="C1213" i="24"/>
  <c r="E1215" i="24"/>
  <c r="F1205" i="15"/>
  <c r="D1205" i="15"/>
  <c r="F1214" i="20"/>
  <c r="F1212" i="20"/>
  <c r="C1211" i="20"/>
  <c r="D1212" i="20"/>
  <c r="E1214" i="24" l="1"/>
  <c r="C1214" i="24"/>
  <c r="C1215" i="24" s="1"/>
  <c r="A1215" i="24" s="1"/>
  <c r="F1213" i="20"/>
  <c r="D1213" i="20"/>
  <c r="D1214" i="20" s="1"/>
  <c r="F1206" i="15"/>
  <c r="D1206" i="15"/>
  <c r="E1216" i="24" l="1"/>
  <c r="C1216" i="24"/>
  <c r="C1217" i="24" s="1"/>
  <c r="A1217" i="24" s="1"/>
  <c r="F1207" i="15"/>
  <c r="D1207" i="15"/>
  <c r="F1215" i="20"/>
  <c r="C1214" i="20"/>
  <c r="D1215" i="20"/>
  <c r="D1216" i="20" s="1"/>
  <c r="C1218" i="24" l="1"/>
  <c r="C1219" i="24" s="1"/>
  <c r="A1219" i="24" s="1"/>
  <c r="E1219" i="24"/>
  <c r="E1218" i="24"/>
  <c r="F1208" i="15"/>
  <c r="D1208" i="15"/>
  <c r="D1209" i="15" s="1"/>
  <c r="F1217" i="20"/>
  <c r="D1217" i="20"/>
  <c r="D1218" i="20" s="1"/>
  <c r="F1218" i="20"/>
  <c r="C1216" i="20"/>
  <c r="C1220" i="24" l="1"/>
  <c r="E1225" i="24"/>
  <c r="C1218" i="20"/>
  <c r="D1219" i="20"/>
  <c r="F1224" i="20"/>
  <c r="F1212" i="15"/>
  <c r="F1210" i="15"/>
  <c r="C1209" i="15"/>
  <c r="D1210" i="15"/>
  <c r="E1221" i="24" l="1"/>
  <c r="C1221" i="24"/>
  <c r="F1211" i="15"/>
  <c r="D1211" i="15"/>
  <c r="D1212" i="15" s="1"/>
  <c r="F1220" i="20"/>
  <c r="D1220" i="20"/>
  <c r="E1222" i="24" l="1"/>
  <c r="C1222" i="24"/>
  <c r="D1221" i="20"/>
  <c r="F1221" i="20"/>
  <c r="F1215" i="15"/>
  <c r="D1213" i="15"/>
  <c r="F1213" i="15"/>
  <c r="C1212" i="15"/>
  <c r="C1223" i="24" l="1"/>
  <c r="E1223" i="24"/>
  <c r="F1214" i="15"/>
  <c r="D1214" i="15"/>
  <c r="D1215" i="15" s="1"/>
  <c r="F1222" i="20"/>
  <c r="D1222" i="20"/>
  <c r="E1224" i="24" l="1"/>
  <c r="C1224" i="24"/>
  <c r="C1225" i="24" s="1"/>
  <c r="A1225" i="24" s="1"/>
  <c r="F1223" i="20"/>
  <c r="D1223" i="20"/>
  <c r="D1224" i="20" s="1"/>
  <c r="F1217" i="15"/>
  <c r="F1216" i="15"/>
  <c r="C1215" i="15"/>
  <c r="D1216" i="15"/>
  <c r="D1217" i="15" s="1"/>
  <c r="C1226" i="24" l="1"/>
  <c r="F1218" i="15"/>
  <c r="C1217" i="15"/>
  <c r="D1218" i="15"/>
  <c r="D1219" i="15" s="1"/>
  <c r="F1219" i="15"/>
  <c r="C1224" i="20"/>
  <c r="D1225" i="20"/>
  <c r="C1227" i="24" l="1"/>
  <c r="E1227" i="24"/>
  <c r="F1225" i="15"/>
  <c r="F1220" i="15"/>
  <c r="C1219" i="15"/>
  <c r="D1220" i="15"/>
  <c r="F1226" i="20"/>
  <c r="D1226" i="20"/>
  <c r="E1228" i="24" l="1"/>
  <c r="C1228" i="24"/>
  <c r="F1221" i="15"/>
  <c r="D1221" i="15"/>
  <c r="F1227" i="20"/>
  <c r="D1227" i="20"/>
  <c r="C1229" i="24" l="1"/>
  <c r="E1229" i="24"/>
  <c r="F1228" i="20"/>
  <c r="D1228" i="20"/>
  <c r="F1222" i="15"/>
  <c r="D1222" i="15"/>
  <c r="E1230" i="24" l="1"/>
  <c r="C1230" i="24"/>
  <c r="C1231" i="24" s="1"/>
  <c r="A1231" i="24" s="1"/>
  <c r="D1223" i="15"/>
  <c r="F1223" i="15"/>
  <c r="F1229" i="20"/>
  <c r="D1229" i="20"/>
  <c r="D1230" i="20" s="1"/>
  <c r="C1232" i="24" l="1"/>
  <c r="A1232" i="24" s="1"/>
  <c r="C1230" i="20"/>
  <c r="D1231" i="20"/>
  <c r="F1224" i="15"/>
  <c r="D1224" i="15"/>
  <c r="D1225" i="15" s="1"/>
  <c r="C1233" i="24" l="1"/>
  <c r="E1235" i="24"/>
  <c r="D1232" i="20"/>
  <c r="F1234" i="20"/>
  <c r="C1231" i="20"/>
  <c r="F1226" i="15"/>
  <c r="C1225" i="15"/>
  <c r="D1226" i="15"/>
  <c r="C1234" i="24" l="1"/>
  <c r="C1235" i="24" s="1"/>
  <c r="A1235" i="24" s="1"/>
  <c r="E1234" i="24"/>
  <c r="F1227" i="15"/>
  <c r="D1227" i="15"/>
  <c r="F1233" i="20"/>
  <c r="D1233" i="20"/>
  <c r="D1234" i="20" s="1"/>
  <c r="C1236" i="24" l="1"/>
  <c r="E1239" i="24"/>
  <c r="C1234" i="20"/>
  <c r="D1235" i="20"/>
  <c r="F1238" i="20"/>
  <c r="F1228" i="15"/>
  <c r="D1228" i="15"/>
  <c r="E1237" i="24" l="1"/>
  <c r="C1237" i="24"/>
  <c r="F1236" i="20"/>
  <c r="D1236" i="20"/>
  <c r="D1229" i="15"/>
  <c r="F1229" i="15"/>
  <c r="C1238" i="24" l="1"/>
  <c r="C1239" i="24" s="1"/>
  <c r="A1239" i="24" s="1"/>
  <c r="E1238" i="24"/>
  <c r="F1230" i="15"/>
  <c r="D1230" i="15"/>
  <c r="D1231" i="15" s="1"/>
  <c r="F1237" i="20"/>
  <c r="D1237" i="20"/>
  <c r="D1238" i="20" s="1"/>
  <c r="E1243" i="24" l="1"/>
  <c r="C1240" i="24"/>
  <c r="C1238" i="20"/>
  <c r="F1242" i="20"/>
  <c r="D1239" i="20"/>
  <c r="C1231" i="15"/>
  <c r="D1232" i="15"/>
  <c r="E1241" i="24" l="1"/>
  <c r="C1241" i="24"/>
  <c r="F1240" i="20"/>
  <c r="D1240" i="20"/>
  <c r="F1235" i="15"/>
  <c r="C1232" i="15"/>
  <c r="F1233" i="15"/>
  <c r="D1233" i="15"/>
  <c r="C1242" i="24" l="1"/>
  <c r="C1243" i="24" s="1"/>
  <c r="A1243" i="24" s="1"/>
  <c r="E1242" i="24"/>
  <c r="F1234" i="15"/>
  <c r="D1234" i="15"/>
  <c r="D1235" i="15" s="1"/>
  <c r="D1241" i="20"/>
  <c r="D1242" i="20" s="1"/>
  <c r="F1241" i="20"/>
  <c r="E1247" i="24" l="1"/>
  <c r="C1244" i="24"/>
  <c r="F1246" i="20"/>
  <c r="C1242" i="20"/>
  <c r="D1243" i="20"/>
  <c r="F1236" i="15"/>
  <c r="C1235" i="15"/>
  <c r="F1239" i="15"/>
  <c r="D1236" i="15"/>
  <c r="E1245" i="24" l="1"/>
  <c r="C1245" i="24"/>
  <c r="F1237" i="15"/>
  <c r="D1237" i="15"/>
  <c r="F1244" i="20"/>
  <c r="D1244" i="20"/>
  <c r="C1246" i="24" l="1"/>
  <c r="C1247" i="24" s="1"/>
  <c r="A1247" i="24" s="1"/>
  <c r="E1246" i="24"/>
  <c r="D1245" i="20"/>
  <c r="D1246" i="20" s="1"/>
  <c r="F1245" i="20"/>
  <c r="D1238" i="15"/>
  <c r="D1239" i="15" s="1"/>
  <c r="F1238" i="15"/>
  <c r="E1252" i="24" l="1"/>
  <c r="C1248" i="24"/>
  <c r="F1243" i="15"/>
  <c r="F1240" i="15"/>
  <c r="C1239" i="15"/>
  <c r="D1240" i="15"/>
  <c r="F1251" i="20"/>
  <c r="C1246" i="20"/>
  <c r="D1247" i="20"/>
  <c r="E1249" i="24" l="1"/>
  <c r="C1249" i="24"/>
  <c r="F1241" i="15"/>
  <c r="D1241" i="15"/>
  <c r="F1248" i="20"/>
  <c r="D1248" i="20"/>
  <c r="E1250" i="24" l="1"/>
  <c r="C1250" i="24"/>
  <c r="F1242" i="15"/>
  <c r="D1242" i="15"/>
  <c r="D1243" i="15" s="1"/>
  <c r="F1249" i="20"/>
  <c r="D1249" i="20"/>
  <c r="E1251" i="24" l="1"/>
  <c r="C1251" i="24"/>
  <c r="C1252" i="24" s="1"/>
  <c r="A1252" i="24" s="1"/>
  <c r="F1250" i="20"/>
  <c r="D1250" i="20"/>
  <c r="D1251" i="20" s="1"/>
  <c r="F1247" i="15"/>
  <c r="F1244" i="15"/>
  <c r="C1243" i="15"/>
  <c r="D1244" i="15"/>
  <c r="E1256" i="24" l="1"/>
  <c r="C1253" i="24"/>
  <c r="C1251" i="20"/>
  <c r="F1255" i="20"/>
  <c r="D1252" i="20"/>
  <c r="F1245" i="15"/>
  <c r="D1245" i="15"/>
  <c r="E1254" i="24" l="1"/>
  <c r="C1254" i="24"/>
  <c r="F1253" i="20"/>
  <c r="D1253" i="20"/>
  <c r="F1246" i="15"/>
  <c r="D1246" i="15"/>
  <c r="D1247" i="15" s="1"/>
  <c r="C1255" i="24" l="1"/>
  <c r="C1256" i="24" s="1"/>
  <c r="A1256" i="24" s="1"/>
  <c r="E1255" i="24"/>
  <c r="F1252" i="15"/>
  <c r="F1248" i="15"/>
  <c r="C1247" i="15"/>
  <c r="D1248" i="15"/>
  <c r="D1254" i="20"/>
  <c r="D1255" i="20" s="1"/>
  <c r="F1254" i="20"/>
  <c r="C1257" i="24" l="1"/>
  <c r="E1261" i="24"/>
  <c r="F1249" i="15"/>
  <c r="D1249" i="15"/>
  <c r="D1256" i="20"/>
  <c r="F1260" i="20"/>
  <c r="C1255" i="20"/>
  <c r="E1258" i="24" l="1"/>
  <c r="C1258" i="24"/>
  <c r="F1257" i="20"/>
  <c r="D1257" i="20"/>
  <c r="F1250" i="15"/>
  <c r="D1250" i="15"/>
  <c r="E1259" i="24" l="1"/>
  <c r="C1259" i="24"/>
  <c r="F1251" i="15"/>
  <c r="D1251" i="15"/>
  <c r="D1252" i="15" s="1"/>
  <c r="F1258" i="20"/>
  <c r="D1258" i="20"/>
  <c r="E1260" i="24" l="1"/>
  <c r="C1260" i="24"/>
  <c r="C1261" i="24" s="1"/>
  <c r="A1261" i="24" s="1"/>
  <c r="F1259" i="20"/>
  <c r="D1259" i="20"/>
  <c r="D1260" i="20" s="1"/>
  <c r="D1253" i="15"/>
  <c r="F1256" i="15"/>
  <c r="F1253" i="15"/>
  <c r="C1252" i="15"/>
  <c r="E1266" i="24" l="1"/>
  <c r="C1262" i="24"/>
  <c r="D1254" i="15"/>
  <c r="F1254" i="15"/>
  <c r="F1265" i="20"/>
  <c r="C1260" i="20"/>
  <c r="D1261" i="20"/>
  <c r="C1263" i="24" l="1"/>
  <c r="E1263" i="24"/>
  <c r="D1262" i="20"/>
  <c r="F1262" i="20"/>
  <c r="D1255" i="15"/>
  <c r="D1256" i="15" s="1"/>
  <c r="F1255" i="15"/>
  <c r="E1264" i="24" l="1"/>
  <c r="C1264" i="24"/>
  <c r="F1257" i="15"/>
  <c r="C1256" i="15"/>
  <c r="D1257" i="15"/>
  <c r="F1261" i="15"/>
  <c r="F1263" i="20"/>
  <c r="D1263" i="20"/>
  <c r="C1265" i="24" l="1"/>
  <c r="C1266" i="24" s="1"/>
  <c r="A1266" i="24" s="1"/>
  <c r="E1265" i="24"/>
  <c r="F1258" i="15"/>
  <c r="D1258" i="15"/>
  <c r="D1264" i="20"/>
  <c r="D1265" i="20" s="1"/>
  <c r="F1264" i="20"/>
  <c r="C1267" i="24" l="1"/>
  <c r="A1267" i="24" s="1"/>
  <c r="D1266" i="20"/>
  <c r="C1265" i="20"/>
  <c r="F1259" i="15"/>
  <c r="D1259" i="15"/>
  <c r="E1268" i="24" l="1"/>
  <c r="C1268" i="24"/>
  <c r="F1260" i="15"/>
  <c r="D1260" i="15"/>
  <c r="D1261" i="15" s="1"/>
  <c r="C1266" i="20"/>
  <c r="F1267" i="20"/>
  <c r="D1267" i="20"/>
  <c r="E1269" i="24" l="1"/>
  <c r="C1269" i="24"/>
  <c r="F1262" i="15"/>
  <c r="C1261" i="15"/>
  <c r="D1262" i="15"/>
  <c r="F1268" i="20"/>
  <c r="D1268" i="20"/>
  <c r="E1270" i="24" l="1"/>
  <c r="C1270" i="24"/>
  <c r="C1271" i="24" s="1"/>
  <c r="A1271" i="24" s="1"/>
  <c r="D1263" i="15"/>
  <c r="F1263" i="15"/>
  <c r="F1269" i="20"/>
  <c r="D1269" i="20"/>
  <c r="D1270" i="20" s="1"/>
  <c r="E1278" i="24" l="1"/>
  <c r="C1272" i="24"/>
  <c r="D1264" i="15"/>
  <c r="F1264" i="15"/>
  <c r="F1277" i="20"/>
  <c r="C1270" i="20"/>
  <c r="D1271" i="20"/>
  <c r="E1273" i="24" l="1"/>
  <c r="C1273" i="24"/>
  <c r="F1272" i="20"/>
  <c r="D1272" i="20"/>
  <c r="F1265" i="15"/>
  <c r="D1265" i="15"/>
  <c r="D1266" i="15" s="1"/>
  <c r="E1274" i="24" l="1"/>
  <c r="C1274" i="24"/>
  <c r="C1266" i="15"/>
  <c r="D1267" i="15"/>
  <c r="F1273" i="20"/>
  <c r="D1273" i="20"/>
  <c r="E1275" i="24" l="1"/>
  <c r="C1275" i="24"/>
  <c r="E644" i="24"/>
  <c r="F1274" i="20"/>
  <c r="D1274" i="20"/>
  <c r="F643" i="20"/>
  <c r="D1268" i="15"/>
  <c r="C1267" i="15"/>
  <c r="F1268" i="15"/>
  <c r="C1276" i="24" l="1"/>
  <c r="E1276" i="24"/>
  <c r="E661" i="24"/>
  <c r="E671" i="24"/>
  <c r="D1275" i="20"/>
  <c r="F1275" i="20"/>
  <c r="F670" i="20"/>
  <c r="F660" i="20"/>
  <c r="D1269" i="15"/>
  <c r="F1269" i="15"/>
  <c r="E1277" i="24" l="1"/>
  <c r="C1277" i="24"/>
  <c r="C1278" i="24" s="1"/>
  <c r="A1278" i="24" s="1"/>
  <c r="F1270" i="15"/>
  <c r="D1270" i="15"/>
  <c r="D1271" i="15" s="1"/>
  <c r="F1276" i="20"/>
  <c r="D1276" i="20"/>
  <c r="D1277" i="20" s="1"/>
  <c r="E1284" i="24" l="1"/>
  <c r="C1279" i="24"/>
  <c r="C1277" i="20"/>
  <c r="F1283" i="20" s="1"/>
  <c r="D1278" i="20"/>
  <c r="D1272" i="15"/>
  <c r="C1271" i="15"/>
  <c r="F1278" i="15"/>
  <c r="E1280" i="24" l="1"/>
  <c r="C1280" i="24"/>
  <c r="F1273" i="15"/>
  <c r="D1273" i="15"/>
  <c r="F1279" i="20"/>
  <c r="D1279" i="20"/>
  <c r="E1281" i="24" l="1"/>
  <c r="C1281" i="24"/>
  <c r="F1274" i="15"/>
  <c r="D1274" i="15"/>
  <c r="F1280" i="20"/>
  <c r="D1280" i="20"/>
  <c r="E1282" i="24" l="1"/>
  <c r="C1282" i="24"/>
  <c r="E836" i="24"/>
  <c r="F1281" i="20"/>
  <c r="D1281" i="20"/>
  <c r="F835" i="20"/>
  <c r="F1275" i="15"/>
  <c r="D1275" i="15"/>
  <c r="C1283" i="24" l="1"/>
  <c r="E1283" i="24"/>
  <c r="E843" i="24"/>
  <c r="D1282" i="20"/>
  <c r="F1282" i="20"/>
  <c r="F842" i="20"/>
  <c r="F1276" i="15"/>
  <c r="D1276" i="15"/>
  <c r="C1284" i="24" l="1"/>
  <c r="A1284" i="24" s="1"/>
  <c r="E850" i="24"/>
  <c r="F1277" i="15"/>
  <c r="D1277" i="15"/>
  <c r="D1278" i="15" s="1"/>
  <c r="D1283" i="20"/>
  <c r="F849" i="20"/>
  <c r="C1285" i="24" l="1"/>
  <c r="C1286" i="24" s="1"/>
  <c r="A1286" i="24" s="1"/>
  <c r="E1286" i="24"/>
  <c r="D1284" i="20"/>
  <c r="D1285" i="20" s="1"/>
  <c r="C1283" i="20"/>
  <c r="F1285" i="20" s="1"/>
  <c r="F1284" i="15"/>
  <c r="C1278" i="15"/>
  <c r="D1279" i="15"/>
  <c r="C1287" i="24" l="1"/>
  <c r="E831" i="24"/>
  <c r="F1280" i="15"/>
  <c r="D1280" i="15"/>
  <c r="C1285" i="20"/>
  <c r="D1286" i="20"/>
  <c r="F830" i="20"/>
  <c r="E1288" i="24" l="1"/>
  <c r="C1288" i="24"/>
  <c r="E826" i="24"/>
  <c r="F1287" i="20"/>
  <c r="D1287" i="20"/>
  <c r="F825" i="20"/>
  <c r="F1281" i="15"/>
  <c r="D1281" i="15"/>
  <c r="C1289" i="24" l="1"/>
  <c r="E1289" i="24"/>
  <c r="F1282" i="15"/>
  <c r="D1282" i="15"/>
  <c r="D1288" i="20"/>
  <c r="F1288" i="20"/>
  <c r="F1283" i="15" l="1"/>
  <c r="D1283" i="15"/>
  <c r="D1284" i="15" s="1"/>
  <c r="D1285" i="15" l="1"/>
  <c r="D1286" i="15" s="1"/>
  <c r="F1286" i="15"/>
  <c r="C1284" i="15"/>
  <c r="C1286" i="15" l="1"/>
  <c r="D1287" i="15"/>
  <c r="F1288" i="15" l="1"/>
  <c r="D1288" i="15"/>
  <c r="F1289" i="15" l="1"/>
  <c r="D1289" i="15"/>
</calcChain>
</file>

<file path=xl/sharedStrings.xml><?xml version="1.0" encoding="utf-8"?>
<sst xmlns="http://schemas.openxmlformats.org/spreadsheetml/2006/main" count="22407" uniqueCount="1856">
  <si>
    <t>133-EE-1006-A</t>
  </si>
  <si>
    <t>status</t>
  </si>
  <si>
    <t>THK</t>
  </si>
  <si>
    <t>WORK DIMENSION</t>
  </si>
  <si>
    <t>QTY</t>
  </si>
  <si>
    <t>UOM</t>
  </si>
  <si>
    <t>work volume</t>
  </si>
  <si>
    <t>BMT</t>
  </si>
  <si>
    <t>WORK-duration</t>
  </si>
  <si>
    <t>ST</t>
  </si>
  <si>
    <t>TOTAL DURATION</t>
  </si>
  <si>
    <t xml:space="preserve">RAW MATERIAL </t>
  </si>
  <si>
    <t xml:space="preserve"> SHELL PLATE-SA 516 Gr60</t>
  </si>
  <si>
    <t xml:space="preserve"> SHELL GIRTH FLANGE-SA266 Gr4</t>
  </si>
  <si>
    <t xml:space="preserve"> CHANNEL PLATE-SA 516 Gr60</t>
  </si>
  <si>
    <t xml:space="preserve"> CHANNEL GIRTH FLANGE-SA 266 Gr4</t>
  </si>
  <si>
    <t xml:space="preserve"> BARREL SHEEL PLATE-SA 516 GR 60</t>
  </si>
  <si>
    <t xml:space="preserve"> BARREL GIRTH FLANGE-SA 266 GR4</t>
  </si>
  <si>
    <t xml:space="preserve"> BARREL DISH-SA 516 GR 60</t>
  </si>
  <si>
    <t xml:space="preserve"> TUBE SHEET-1-SA 266 GR4</t>
  </si>
  <si>
    <t xml:space="preserve"> TUBE SHEET -2-SA 266 GR4</t>
  </si>
  <si>
    <t xml:space="preserve"> FLOATING HEAD FLG-SA 266 GR4</t>
  </si>
  <si>
    <t xml:space="preserve"> FLOATING HEAD DISH-SA 516 GR60</t>
  </si>
  <si>
    <t xml:space="preserve"> BACKING RING-SA 266 GR4</t>
  </si>
  <si>
    <t xml:space="preserve"> BAFFLE PLATE-SA 516 GR60</t>
  </si>
  <si>
    <t xml:space="preserve"> SEALING STRIP PLATE-SA 516 GR60</t>
  </si>
  <si>
    <t xml:space="preserve"> SLIDING STRIP PLATE-SA 516 GR60</t>
  </si>
  <si>
    <t xml:space="preserve"> SEAL ROD-SA 36</t>
  </si>
  <si>
    <t xml:space="preserve"> NOZ SRN-SA 105</t>
  </si>
  <si>
    <t xml:space="preserve"> TUBE -SA 179</t>
  </si>
  <si>
    <t xml:space="preserve"> SPACER TUBE-SA 179</t>
  </si>
  <si>
    <t xml:space="preserve"> TIE ROD-SA 36</t>
  </si>
  <si>
    <t xml:space="preserve"> TEST RING &amp; TEST FLG-SA 266 GR4</t>
  </si>
  <si>
    <t xml:space="preserve"> MS ROD FOR HANDLE ETC</t>
  </si>
  <si>
    <t xml:space="preserve"> MS PLATE FOR SADDLE</t>
  </si>
  <si>
    <t>DISH FORMING - 24T*1700 OD</t>
  </si>
  <si>
    <t xml:space="preserve"> BAR DISH BLANK ISSUENCE</t>
  </si>
  <si>
    <t>T</t>
  </si>
  <si>
    <t>ID dish</t>
  </si>
  <si>
    <t>No</t>
  </si>
  <si>
    <t>nos</t>
  </si>
  <si>
    <t>Day</t>
  </si>
  <si>
    <t>Days</t>
  </si>
  <si>
    <t xml:space="preserve"> BAR-DISH BLANK MARKING - 24 * 1670 OD</t>
  </si>
  <si>
    <t>F,H</t>
  </si>
  <si>
    <t>6723 MM</t>
  </si>
  <si>
    <t>Dia-mtr</t>
  </si>
  <si>
    <t>Hr/mtr</t>
  </si>
  <si>
    <t>Hrs</t>
  </si>
  <si>
    <t xml:space="preserve"> BAR-DISH BLANK MARKING INSPECTION</t>
  </si>
  <si>
    <t>no</t>
  </si>
  <si>
    <t xml:space="preserve"> BAR-DISH BLANK CUTTING</t>
  </si>
  <si>
    <t>C,H</t>
  </si>
  <si>
    <t>RMT</t>
  </si>
  <si>
    <t xml:space="preserve"> BAR-DISH FORMING</t>
  </si>
  <si>
    <t>SC</t>
  </si>
  <si>
    <t xml:space="preserve"> PROFILE INSP</t>
  </si>
  <si>
    <t xml:space="preserve"> HEAT TREATMENT PREPARATION</t>
  </si>
  <si>
    <t xml:space="preserve"> STRESS RELEIVING- SUB CONT</t>
  </si>
  <si>
    <t xml:space="preserve"> REMOVAL OF SPIDERS</t>
  </si>
  <si>
    <t xml:space="preserve"> SURFACE PREPARATION</t>
  </si>
  <si>
    <t>G</t>
  </si>
  <si>
    <t xml:space="preserve"> INSPECTION</t>
  </si>
  <si>
    <t>F</t>
  </si>
  <si>
    <t xml:space="preserve"> TPI INSPECTION</t>
  </si>
  <si>
    <t xml:space="preserve"> SF MARKING</t>
  </si>
  <si>
    <t>enter</t>
  </si>
  <si>
    <t>1692 od</t>
  </si>
  <si>
    <t>Rmt</t>
  </si>
  <si>
    <t xml:space="preserve"> SF CUTTING</t>
  </si>
  <si>
    <t xml:space="preserve"> SF GRIDNING &amp; EP</t>
  </si>
  <si>
    <t>TUBE SHEET</t>
  </si>
  <si>
    <t xml:space="preserve"> TUBE SHEET MACHINING 1 OFF 2</t>
  </si>
  <si>
    <t xml:space="preserve"> INWARD INSPECTION</t>
  </si>
  <si>
    <t>145 t</t>
  </si>
  <si>
    <t xml:space="preserve"> TUBE SHEET M/C - 1/2</t>
  </si>
  <si>
    <t xml:space="preserve"> TUBE SHEET DRILLING 1 OFF 2</t>
  </si>
  <si>
    <t xml:space="preserve"> TUBE SHEET DRILLING -1/2</t>
  </si>
  <si>
    <t>1308 holes</t>
  </si>
  <si>
    <t>rmt</t>
  </si>
  <si>
    <t xml:space="preserve"> EXP GROOVE+WELDING GROOVE -1/2</t>
  </si>
  <si>
    <t>Nos</t>
  </si>
  <si>
    <t xml:space="preserve"> TIE ROD, PULLING, LIFTING HOLE - 1/2</t>
  </si>
  <si>
    <t>set</t>
  </si>
  <si>
    <t>Set</t>
  </si>
  <si>
    <t xml:space="preserve"> PASS PARTITION GROOVE M/C -1/2</t>
  </si>
  <si>
    <t xml:space="preserve"> CLEANING ,GO/NO GO CHECK -1/2</t>
  </si>
  <si>
    <t>Hr/no</t>
  </si>
  <si>
    <t xml:space="preserve"> FINAL INSPECTION -1/2</t>
  </si>
  <si>
    <t xml:space="preserve"> TUBE SHEET MACHINING 2 OFF 2</t>
  </si>
  <si>
    <t>1670 od</t>
  </si>
  <si>
    <t xml:space="preserve"> TUBE SHEET M/C - 2/2</t>
  </si>
  <si>
    <t>1548 od</t>
  </si>
  <si>
    <t xml:space="preserve"> TUBE SHEET DRILLING 2 OFF 2</t>
  </si>
  <si>
    <t xml:space="preserve"> TUBE SHEET DRILLING -2/2</t>
  </si>
  <si>
    <t xml:space="preserve"> EXP GROOVE+WELDING GROOVE -2/2</t>
  </si>
  <si>
    <t xml:space="preserve"> TIE ROD, PULLING, LIFTING HOLE - 2/2</t>
  </si>
  <si>
    <t xml:space="preserve"> PASS PARTITION GROOVE M/C -2/2</t>
  </si>
  <si>
    <t xml:space="preserve"> CLEANING ,GO/NO GO CHECK -2/2</t>
  </si>
  <si>
    <t xml:space="preserve"> FINAL INSPECTION -2/2</t>
  </si>
  <si>
    <t>NOZZLE FAB</t>
  </si>
  <si>
    <t>SH  NOZ PIPE MARKING</t>
  </si>
  <si>
    <t>26"NB SRN - 2 NOS</t>
  </si>
  <si>
    <t>26" nb</t>
  </si>
  <si>
    <t>2" MP CON - 2 NO</t>
  </si>
  <si>
    <t>2"nb</t>
  </si>
  <si>
    <t>INSPECTION OF MARKING</t>
  </si>
  <si>
    <t>SH NOZ PIPE CUTTING</t>
  </si>
  <si>
    <t>SH NOZ PIPE EP</t>
  </si>
  <si>
    <t>INSPECTION</t>
  </si>
  <si>
    <t>SH NOZ+FLG FIITUP</t>
  </si>
  <si>
    <t>F[2],W,H</t>
  </si>
  <si>
    <t>hr</t>
  </si>
  <si>
    <t xml:space="preserve">INSPECTION </t>
  </si>
  <si>
    <t>SH NOZ PIPE+FLG WELDING</t>
  </si>
  <si>
    <t>W,H</t>
  </si>
  <si>
    <t>18 t</t>
  </si>
  <si>
    <t>3054 mm</t>
  </si>
  <si>
    <t>272 MM</t>
  </si>
  <si>
    <t>SH NOZ PIPE PROFILE MARKING</t>
  </si>
  <si>
    <t xml:space="preserve"> SH NOZZLE PIPE PROFILE CUTTING</t>
  </si>
  <si>
    <t>G,H</t>
  </si>
  <si>
    <t xml:space="preserve"> SH NOZZLE PIPE PR0FILE EP</t>
  </si>
  <si>
    <t>18t</t>
  </si>
  <si>
    <t>CH NOZ PIPE MARKING</t>
  </si>
  <si>
    <t>16"NB SRN - 2 NOS</t>
  </si>
  <si>
    <t>CH NOZ PIPE CUTTING</t>
  </si>
  <si>
    <t>CH NOZ PIPE EP</t>
  </si>
  <si>
    <t>CH NOZ+FLG FIT UP</t>
  </si>
  <si>
    <t>CH NOZ PIPE+FLG WELDING</t>
  </si>
  <si>
    <t>CH NOZ PIPE PROFILE MARKING</t>
  </si>
  <si>
    <t>CH NOZZLE PIPE PROFILE CUTTING</t>
  </si>
  <si>
    <t>CH NOZZLE PIPE PR0FILE EP</t>
  </si>
  <si>
    <t>SADDLE &amp; OTHER</t>
  </si>
  <si>
    <t xml:space="preserve"> TOP SADDLE FABRRICATION</t>
  </si>
  <si>
    <t xml:space="preserve"> PLATE ISSUENCE</t>
  </si>
  <si>
    <t xml:space="preserve"> BASE MARKING</t>
  </si>
  <si>
    <t>30/25</t>
  </si>
  <si>
    <t>9 rmt</t>
  </si>
  <si>
    <t>mtr</t>
  </si>
  <si>
    <t xml:space="preserve"> WEB PL MARKING</t>
  </si>
  <si>
    <t>29 rmt</t>
  </si>
  <si>
    <t xml:space="preserve"> RIBS MARKING</t>
  </si>
  <si>
    <t>10.5 Rmt</t>
  </si>
  <si>
    <t xml:space="preserve">TOP SADLLE PLATE CUTTING </t>
  </si>
  <si>
    <t xml:space="preserve"> BASE CUTTING</t>
  </si>
  <si>
    <t xml:space="preserve"> WEB PL CUTTING</t>
  </si>
  <si>
    <t xml:space="preserve"> RIBS CUTTING</t>
  </si>
  <si>
    <t>GRINNDING OF ABOVE</t>
  </si>
  <si>
    <t>G[2]</t>
  </si>
  <si>
    <t xml:space="preserve"> SADDLE FIT UP &amp; WELDING</t>
  </si>
  <si>
    <t xml:space="preserve"> BASE + WEB FIT UP</t>
  </si>
  <si>
    <t>F,H[2],W</t>
  </si>
  <si>
    <t xml:space="preserve"> BASE + WEB WELDING</t>
  </si>
  <si>
    <t xml:space="preserve"> RIBS+WEB FIT UP</t>
  </si>
  <si>
    <t xml:space="preserve"> RIBS+WEB WELDING</t>
  </si>
  <si>
    <t>W[2],H[2]</t>
  </si>
  <si>
    <t xml:space="preserve"> DAVIT PIPE FABRICATION</t>
  </si>
  <si>
    <t xml:space="preserve"> PIPE TRANSFERE</t>
  </si>
  <si>
    <t>H[4]</t>
  </si>
  <si>
    <t>SET</t>
  </si>
  <si>
    <t xml:space="preserve"> PIPE MARKING - 6 NOS</t>
  </si>
  <si>
    <t>Hr</t>
  </si>
  <si>
    <t xml:space="preserve"> SUPPORT PL MARKING</t>
  </si>
  <si>
    <t xml:space="preserve"> GUSSET PL MARKING</t>
  </si>
  <si>
    <t xml:space="preserve"> BASE HUB MARKING</t>
  </si>
  <si>
    <t xml:space="preserve"> PIPE CUTTING - 6 NOS</t>
  </si>
  <si>
    <t xml:space="preserve"> SUPPORT PL CUTTING</t>
  </si>
  <si>
    <t xml:space="preserve"> PIPE GRINDING - 6 NOS</t>
  </si>
  <si>
    <t xml:space="preserve"> SUPPORT PL GRINDING-10 NOS</t>
  </si>
  <si>
    <t xml:space="preserve"> PIVOT PL GRINDING</t>
  </si>
  <si>
    <t xml:space="preserve"> PIPE FIT UP-2 NOS</t>
  </si>
  <si>
    <t>F,H,W</t>
  </si>
  <si>
    <t xml:space="preserve"> PIPE WELDING -2 NOS</t>
  </si>
  <si>
    <t xml:space="preserve"> PIVOT PL WELDING</t>
  </si>
  <si>
    <t xml:space="preserve"> SUPPORT PL WELDING -4 NOS</t>
  </si>
  <si>
    <t xml:space="preserve"> LIFTING LUG PAD</t>
  </si>
  <si>
    <t>dAY</t>
  </si>
  <si>
    <t xml:space="preserve"> LIFTING LUG PAD MARKING</t>
  </si>
  <si>
    <t xml:space="preserve"> LIFTING LUG PAD CUTTING</t>
  </si>
  <si>
    <t xml:space="preserve"> LIFTING LUGS PAD GRINDING</t>
  </si>
  <si>
    <t xml:space="preserve"> LIFTING LUG PREPARATION</t>
  </si>
  <si>
    <t xml:space="preserve"> LIFTING LUGS MARKING</t>
  </si>
  <si>
    <t xml:space="preserve"> LIFTING LUGS CUTTING</t>
  </si>
  <si>
    <t xml:space="preserve"> LIFTING LUGS GRINDING</t>
  </si>
  <si>
    <t xml:space="preserve"> LIFTING LUG DRILLING</t>
  </si>
  <si>
    <t xml:space="preserve"> CHANNEL COVER HANDLE PREPATAION</t>
  </si>
  <si>
    <t xml:space="preserve"> CH COVER RING FORMING</t>
  </si>
  <si>
    <t xml:space="preserve"> SLIDING SLING FORMING</t>
  </si>
  <si>
    <t xml:space="preserve"> INSULATION RING PRPARATION</t>
  </si>
  <si>
    <t xml:space="preserve"> INSULAION RING MARKING</t>
  </si>
  <si>
    <t xml:space="preserve"> INSULAION RING CUTTING</t>
  </si>
  <si>
    <t xml:space="preserve"> INSULAION RING HOLE MARKING</t>
  </si>
  <si>
    <t xml:space="preserve"> INSULAION RING HOLE DRILLING</t>
  </si>
  <si>
    <t>BAFFLE &amp; TB ITEMS FAB</t>
  </si>
  <si>
    <t xml:space="preserve"> BAFFLE PREPARATION</t>
  </si>
  <si>
    <t xml:space="preserve"> BAFFLE PLATE TRANSFER</t>
  </si>
  <si>
    <t xml:space="preserve"> BAFFLE MARKING</t>
  </si>
  <si>
    <t xml:space="preserve"> BAFFLE PROFILE CUTTING</t>
  </si>
  <si>
    <t xml:space="preserve"> BAFFLE BEND REMOVAL &amp; STACKING</t>
  </si>
  <si>
    <t xml:space="preserve"> BAFFLE PL BEND REMOVAL</t>
  </si>
  <si>
    <t>F,H[2]</t>
  </si>
  <si>
    <t xml:space="preserve"> BAFFLE PL STACKING</t>
  </si>
  <si>
    <t xml:space="preserve">3 bundle </t>
  </si>
  <si>
    <t xml:space="preserve"> BAFFLE DRILLING</t>
  </si>
  <si>
    <t>14 thk</t>
  </si>
  <si>
    <t>Bunch</t>
  </si>
  <si>
    <t xml:space="preserve"> BAFFLE DE STACKING &amp; CHAMFERING</t>
  </si>
  <si>
    <t xml:space="preserve"> BAFFLE DE STACING</t>
  </si>
  <si>
    <t xml:space="preserve"> BAFFLE CHAMFERING</t>
  </si>
  <si>
    <t>holes</t>
  </si>
  <si>
    <t xml:space="preserve"> BAFFLE STACKING &amp; THRO HOLE CHECK</t>
  </si>
  <si>
    <t xml:space="preserve"> STACKING</t>
  </si>
  <si>
    <t xml:space="preserve"> BAFFLE HOLE ALINGMENT</t>
  </si>
  <si>
    <t xml:space="preserve"> BAFFLE HOLE RE DRILL</t>
  </si>
  <si>
    <t xml:space="preserve"> BAFFLE OD MACHINING</t>
  </si>
  <si>
    <t xml:space="preserve"> BAFFLE CLEANING</t>
  </si>
  <si>
    <t>H[3]</t>
  </si>
  <si>
    <t xml:space="preserve"> SUPPORT PLATE MARKING</t>
  </si>
  <si>
    <t xml:space="preserve"> SUPPORT PLATE TRANSFER</t>
  </si>
  <si>
    <t xml:space="preserve"> SUPPORT MARKING</t>
  </si>
  <si>
    <t xml:space="preserve"> SUPPORT PROFILE CUTTING</t>
  </si>
  <si>
    <t xml:space="preserve"> SUPPORT PLATE BEND REMOVAL</t>
  </si>
  <si>
    <t xml:space="preserve"> SUPPORT PL BEND REMOVAL</t>
  </si>
  <si>
    <t>F,H[3]</t>
  </si>
  <si>
    <t xml:space="preserve"> SUPPORT PL STACKING</t>
  </si>
  <si>
    <t xml:space="preserve"> SUPPORT PLATE DRLINNG</t>
  </si>
  <si>
    <t xml:space="preserve"> SUPPORT DRILLING</t>
  </si>
  <si>
    <t>20THK</t>
  </si>
  <si>
    <t xml:space="preserve"> SUP PLATE DE STACKING &amp; CHAMFERING</t>
  </si>
  <si>
    <t xml:space="preserve"> SUPPORT DE STACING</t>
  </si>
  <si>
    <t xml:space="preserve"> SUPPORT HOLE CHAMFERING</t>
  </si>
  <si>
    <t>Plate</t>
  </si>
  <si>
    <t xml:space="preserve"> TIE ROD PREPARATION</t>
  </si>
  <si>
    <t xml:space="preserve"> TIE ROD MATL TRANSFERE</t>
  </si>
  <si>
    <t xml:space="preserve"> ROD CUTTING</t>
  </si>
  <si>
    <t>noS</t>
  </si>
  <si>
    <t xml:space="preserve"> THREAD MACHINING.</t>
  </si>
  <si>
    <t>L</t>
  </si>
  <si>
    <t xml:space="preserve"> JOINING</t>
  </si>
  <si>
    <t>W,F,H</t>
  </si>
  <si>
    <t xml:space="preserve"> SPACER TUBE PREPARATION</t>
  </si>
  <si>
    <t xml:space="preserve"> SPACER TUBE TRANSFERE</t>
  </si>
  <si>
    <t xml:space="preserve"> LENGTH CUTTING 237NOS</t>
  </si>
  <si>
    <t xml:space="preserve"> LENNGTH MACHINING</t>
  </si>
  <si>
    <t xml:space="preserve"> CLEANINNG</t>
  </si>
  <si>
    <t xml:space="preserve"> SEALING STRIP PREPARATION</t>
  </si>
  <si>
    <t xml:space="preserve"> SEALING STRIP MARKING</t>
  </si>
  <si>
    <t>9522 mm</t>
  </si>
  <si>
    <t>Mtr</t>
  </si>
  <si>
    <t xml:space="preserve"> SEALING STRIP CUTTING</t>
  </si>
  <si>
    <t xml:space="preserve"> SEALING STRIP BEND REMOVAL</t>
  </si>
  <si>
    <t xml:space="preserve"> SEALING STRIP GRINDING</t>
  </si>
  <si>
    <t xml:space="preserve"> SEALING STRIP JOINING</t>
  </si>
  <si>
    <t xml:space="preserve"> SEALING STRIP DRESS UP</t>
  </si>
  <si>
    <t xml:space="preserve"> SLIDING STRIP PREPARATION</t>
  </si>
  <si>
    <t xml:space="preserve"> SLIDING STRIP MARKING</t>
  </si>
  <si>
    <t>13366 mm</t>
  </si>
  <si>
    <t xml:space="preserve"> SLIDING STRIP CUTTING</t>
  </si>
  <si>
    <t xml:space="preserve"> SLIDING STRIP BEND REMOVAL</t>
  </si>
  <si>
    <t xml:space="preserve"> SLIDING STRIP GRINDING</t>
  </si>
  <si>
    <t xml:space="preserve"> SLIDING STRIP JOINING</t>
  </si>
  <si>
    <t xml:space="preserve"> SLIDING STRIP DRESS UP</t>
  </si>
  <si>
    <t xml:space="preserve"> SEAL ROD PREPARATION</t>
  </si>
  <si>
    <t xml:space="preserve"> SEAL ROD ISSUENECE</t>
  </si>
  <si>
    <t xml:space="preserve"> SEAL ROD MARKING</t>
  </si>
  <si>
    <t>25.4 dia</t>
  </si>
  <si>
    <t xml:space="preserve"> SEAL ROD CUTTING</t>
  </si>
  <si>
    <t xml:space="preserve"> SEAL ROD BEND REMOVAL</t>
  </si>
  <si>
    <t>SHELL FABRICATION</t>
  </si>
  <si>
    <t xml:space="preserve"> SHELL MARKING &amp; CUTTING</t>
  </si>
  <si>
    <t xml:space="preserve"> SH PLATE TRNASFER</t>
  </si>
  <si>
    <t xml:space="preserve"> SH-MARKING</t>
  </si>
  <si>
    <t>43000 mm</t>
  </si>
  <si>
    <t xml:space="preserve"> SHELL PLATE CUTTING</t>
  </si>
  <si>
    <t xml:space="preserve"> SH-CUTTING</t>
  </si>
  <si>
    <t>C,H[2]</t>
  </si>
  <si>
    <t xml:space="preserve"> SH PL SIDE GRINDING</t>
  </si>
  <si>
    <t xml:space="preserve"> SH PL SIDE BEVEL CUTTING</t>
  </si>
  <si>
    <t>2500 mm</t>
  </si>
  <si>
    <t>1250 mm</t>
  </si>
  <si>
    <t>0 mm</t>
  </si>
  <si>
    <t xml:space="preserve"> SHELL PLATE EDGE PREPARATION</t>
  </si>
  <si>
    <t xml:space="preserve"> SH-BEVEL GRINDING</t>
  </si>
  <si>
    <t xml:space="preserve"> SHELL PRE BENDING</t>
  </si>
  <si>
    <t xml:space="preserve"> SH-PRE BEND</t>
  </si>
  <si>
    <t>F[2],H</t>
  </si>
  <si>
    <t xml:space="preserve"> SHELL PL PRE BEND CUT OFF</t>
  </si>
  <si>
    <t xml:space="preserve"> SH-PRE BEND CUT OFF</t>
  </si>
  <si>
    <t>F[2],H,C</t>
  </si>
  <si>
    <t xml:space="preserve"> SHELL PLATE LS EP</t>
  </si>
  <si>
    <t xml:space="preserve"> SH-PRE BEND LS EP</t>
  </si>
  <si>
    <t xml:space="preserve"> SHELL ROLLING</t>
  </si>
  <si>
    <t xml:space="preserve"> SH-ROLLING 1/4</t>
  </si>
  <si>
    <t xml:space="preserve"> SH-ROLLING</t>
  </si>
  <si>
    <t xml:space="preserve"> SHELL CIR LENGTH &amp; EP CORRECTION</t>
  </si>
  <si>
    <t xml:space="preserve"> SH-LS CORRECTION</t>
  </si>
  <si>
    <t xml:space="preserve"> SHELL LS SEAMS FIT UP</t>
  </si>
  <si>
    <t xml:space="preserve"> SH-LS FIT UP</t>
  </si>
  <si>
    <t>F[2],H,W</t>
  </si>
  <si>
    <t xml:space="preserve"> SH LS WELDING ARRANGEMENT</t>
  </si>
  <si>
    <t xml:space="preserve"> SH-LS WELD ARRANGEMENT</t>
  </si>
  <si>
    <t xml:space="preserve"> SHELL LONG SEAM OUTER WELDING</t>
  </si>
  <si>
    <t xml:space="preserve"> SH-LS WELDING- TOP SIDE</t>
  </si>
  <si>
    <t xml:space="preserve"> SH LS BACK CHIP</t>
  </si>
  <si>
    <t xml:space="preserve"> SH-LS WELDING- BACK CHIP</t>
  </si>
  <si>
    <t xml:space="preserve"> SH LS INNER WELDING</t>
  </si>
  <si>
    <t xml:space="preserve"> SH-LS INNER WELDING</t>
  </si>
  <si>
    <t>SH INNER LS FLUSH GRINDING</t>
  </si>
  <si>
    <t xml:space="preserve"> SH INNER FLUSH GRINDING</t>
  </si>
  <si>
    <t xml:space="preserve"> SH LS RADIOGRAPHY</t>
  </si>
  <si>
    <t xml:space="preserve"> SH LS WELDING RT</t>
  </si>
  <si>
    <t>RT</t>
  </si>
  <si>
    <t xml:space="preserve"> SHELL RE ROLLING</t>
  </si>
  <si>
    <t xml:space="preserve"> SH RE ROLLING</t>
  </si>
  <si>
    <t xml:space="preserve"> SH PLATE CS EP CORRECTION</t>
  </si>
  <si>
    <t xml:space="preserve"> SH CIR EP CORRECTION</t>
  </si>
  <si>
    <t>1560 mm id</t>
  </si>
  <si>
    <t>0 mm id</t>
  </si>
  <si>
    <t xml:space="preserve"> SH CIR SEAM FIRST FIT UP</t>
  </si>
  <si>
    <t xml:space="preserve"> SH CS FIT UP - [LS1+LS2]</t>
  </si>
  <si>
    <t xml:space="preserve"> SH CS TACK DP CHECK - [LS1+LS2]</t>
  </si>
  <si>
    <t>SH CIR SEAM FIRST WELDING</t>
  </si>
  <si>
    <t xml:space="preserve"> SH CS WELDING TRANSFERE</t>
  </si>
  <si>
    <t xml:space="preserve"> SH CS WELDING OUTER [LS1+LS2]</t>
  </si>
  <si>
    <t xml:space="preserve"> SH CS WELDING BACK CHIP [LS1+LS2]</t>
  </si>
  <si>
    <t xml:space="preserve"> SH CS INNER WELDING [LS1+LS2]</t>
  </si>
  <si>
    <t xml:space="preserve"> SH CS FLUSH GRINDING [LS1+LS2]</t>
  </si>
  <si>
    <t>SH CIR SEAM SECOND FITUP</t>
  </si>
  <si>
    <t xml:space="preserve"> SH CS FIT UP - [LS2+LS3]</t>
  </si>
  <si>
    <t xml:space="preserve"> SH CS TACK DP CHECK - [LS2+LS3]</t>
  </si>
  <si>
    <t>SH CIR SEAM SECOND WELDING</t>
  </si>
  <si>
    <t xml:space="preserve"> SH CS WELDING TRANSFERE-[LS2+LS3]</t>
  </si>
  <si>
    <t xml:space="preserve"> SH CS WELDING OUTER [LS2+LS3]</t>
  </si>
  <si>
    <t xml:space="preserve"> SH CS WELDING BACK CHIP [LS2+LS3]</t>
  </si>
  <si>
    <t xml:space="preserve"> SH CS INNER WELDING [LS2+LS3]</t>
  </si>
  <si>
    <t xml:space="preserve"> SH CS FLUSH GRINDING [LS2+LS3]</t>
  </si>
  <si>
    <t xml:space="preserve"> SH CIR SEAM III RD FITUP</t>
  </si>
  <si>
    <t xml:space="preserve"> SH CS FIT UP CS3</t>
  </si>
  <si>
    <t xml:space="preserve"> SH CS TACK DP CHECK CS3</t>
  </si>
  <si>
    <t>SH CIR SEAM THIRD WELDING</t>
  </si>
  <si>
    <t xml:space="preserve"> SH CS WELDING TRANSFERE CS3</t>
  </si>
  <si>
    <t xml:space="preserve"> SH CS WELDING OUTER CS3</t>
  </si>
  <si>
    <t xml:space="preserve"> SH CS WELDING BACK CHIP CS3</t>
  </si>
  <si>
    <t xml:space="preserve"> SH CS INNER WELDING CS3</t>
  </si>
  <si>
    <t xml:space="preserve"> SH CS FLUSH GRINDING CS3</t>
  </si>
  <si>
    <t>SH FINAL LENGTH CORRECTION</t>
  </si>
  <si>
    <t>SH LENGTH MARKING</t>
  </si>
  <si>
    <t>F[2]</t>
  </si>
  <si>
    <t>LENGTH CUTTING</t>
  </si>
  <si>
    <t>GRINDING &amp; EP</t>
  </si>
  <si>
    <t xml:space="preserve"> SH CIR SEAM FLANGE 1 FITUP</t>
  </si>
  <si>
    <t xml:space="preserve"> SH CS FIT UP FLG CS1</t>
  </si>
  <si>
    <t xml:space="preserve"> SH CS TACK DP CHECK FLG CS1</t>
  </si>
  <si>
    <t xml:space="preserve"> SH CIR SEAM FLANGE 1 WELDING</t>
  </si>
  <si>
    <t xml:space="preserve"> SH CS WELDING OUTER FLG CS1</t>
  </si>
  <si>
    <t xml:space="preserve"> SH CS WELDING BACK CHIP FLG CS1</t>
  </si>
  <si>
    <t xml:space="preserve"> SH CS INNER WELDING FLG CS1</t>
  </si>
  <si>
    <t xml:space="preserve"> SH CS FLUSH GRINDING FLG CS1</t>
  </si>
  <si>
    <t xml:space="preserve"> SH CS FIT UP FLG2</t>
  </si>
  <si>
    <t xml:space="preserve"> SH CS FIT UP FLG 2</t>
  </si>
  <si>
    <t xml:space="preserve"> SH CS TACK DP CHECK FLG2</t>
  </si>
  <si>
    <t>SH CS WELDING FLG2</t>
  </si>
  <si>
    <t xml:space="preserve"> SH CS WELDING TRANSFERE FLG2</t>
  </si>
  <si>
    <t xml:space="preserve"> SH CS WELDING OUTER FLG2</t>
  </si>
  <si>
    <t xml:space="preserve"> SH CS WELDING BACK CHIP FLG2</t>
  </si>
  <si>
    <t xml:space="preserve"> SH CS INNER WELDING FLG2</t>
  </si>
  <si>
    <t xml:space="preserve"> SH CS FLUSH GRINDING FLG2</t>
  </si>
  <si>
    <t xml:space="preserve"> NOZZLE ORIENTATION  MARKING</t>
  </si>
  <si>
    <t>SH-NOZ ORIENTAION MARKING</t>
  </si>
  <si>
    <t xml:space="preserve"> SH-NOZ MARKING-N2A1</t>
  </si>
  <si>
    <t xml:space="preserve"> SH NOZZLE OPENNING</t>
  </si>
  <si>
    <t>26"NB SRN - 1</t>
  </si>
  <si>
    <t>972 mm lip od</t>
  </si>
  <si>
    <t xml:space="preserve"> SH NOZZLE EP</t>
  </si>
  <si>
    <t xml:space="preserve"> SH NOZZZLE FIT UP</t>
  </si>
  <si>
    <t>650nb</t>
  </si>
  <si>
    <t>DP CHECK</t>
  </si>
  <si>
    <t xml:space="preserve"> SH NOZZLE FIT UP INSPECTION</t>
  </si>
  <si>
    <t xml:space="preserve"> SH NOZZLE WELDING</t>
  </si>
  <si>
    <t xml:space="preserve"> SH NOZ WELDING ARRANGEMENT</t>
  </si>
  <si>
    <t xml:space="preserve"> SH-NOZ WELDING -N1A</t>
  </si>
  <si>
    <t xml:space="preserve"> SH-NOZ WELDING-N2A1</t>
  </si>
  <si>
    <t xml:space="preserve"> SH-NOZ WELDING-N2A2</t>
  </si>
  <si>
    <t xml:space="preserve"> SH NOZ ROOT DP CHECK</t>
  </si>
  <si>
    <t xml:space="preserve"> SH-NOZ INNER WELD -N1A</t>
  </si>
  <si>
    <t>H,W</t>
  </si>
  <si>
    <t xml:space="preserve"> SH-NOZ INNER WELD-N2A1</t>
  </si>
  <si>
    <t xml:space="preserve"> SH-NOZ INNER WELD-N2A2</t>
  </si>
  <si>
    <t xml:space="preserve"> SH SADDLE WELDING</t>
  </si>
  <si>
    <t xml:space="preserve"> SH-SADDLE PAD FIT UP</t>
  </si>
  <si>
    <t>1596 mm od</t>
  </si>
  <si>
    <t xml:space="preserve"> SH-SADDLE PAD WELDING</t>
  </si>
  <si>
    <t xml:space="preserve"> SH-SADDLE MATCHING</t>
  </si>
  <si>
    <t>F[2],G[2]</t>
  </si>
  <si>
    <t xml:space="preserve"> SH-SADDLE FIT UP</t>
  </si>
  <si>
    <t>W,F[2],H</t>
  </si>
  <si>
    <t xml:space="preserve"> SH-SADDLE WELDING</t>
  </si>
  <si>
    <t>11400 rmt</t>
  </si>
  <si>
    <t xml:space="preserve"> SH-SADDLE dress up</t>
  </si>
  <si>
    <t xml:space="preserve"> SH DAVIT ARM WELDING</t>
  </si>
  <si>
    <t xml:space="preserve"> SH-DAVIT ARM arm match</t>
  </si>
  <si>
    <t>F,G</t>
  </si>
  <si>
    <t xml:space="preserve"> SH-DAVIT ARM FIT UP</t>
  </si>
  <si>
    <t xml:space="preserve"> SH-DAVIT ARM WELDING</t>
  </si>
  <si>
    <t xml:space="preserve"> SH NDE CLEARENCE</t>
  </si>
  <si>
    <t xml:space="preserve"> SH-SH NDE CLEARENCE</t>
  </si>
  <si>
    <t>6130 lg</t>
  </si>
  <si>
    <t>CHANNEL FABRICATION</t>
  </si>
  <si>
    <t xml:space="preserve"> CHANNEL SHELL LS WELDING</t>
  </si>
  <si>
    <t xml:space="preserve"> CH PLATE TRNASFER</t>
  </si>
  <si>
    <t xml:space="preserve"> CH-MARKING</t>
  </si>
  <si>
    <t>831 mm</t>
  </si>
  <si>
    <t xml:space="preserve"> CH-CUTTING</t>
  </si>
  <si>
    <t xml:space="preserve"> CH PL SIDE GRINDING</t>
  </si>
  <si>
    <t>CH-BEVELLING CIR SIDE</t>
  </si>
  <si>
    <t>CH EP GRINDING</t>
  </si>
  <si>
    <t xml:space="preserve"> CHANNEL SH ROLLING</t>
  </si>
  <si>
    <t xml:space="preserve"> CH-PRE BEND</t>
  </si>
  <si>
    <t xml:space="preserve"> CH-PRE BEND CUT OFF</t>
  </si>
  <si>
    <t>F[2],C</t>
  </si>
  <si>
    <t xml:space="preserve"> CH LS BEVELING</t>
  </si>
  <si>
    <t xml:space="preserve"> CH-ROLLING</t>
  </si>
  <si>
    <t xml:space="preserve"> CH SHELL LS FIT UP</t>
  </si>
  <si>
    <t xml:space="preserve"> CH-LS CORRECTION</t>
  </si>
  <si>
    <t xml:space="preserve"> CH-LS FIT UP</t>
  </si>
  <si>
    <t xml:space="preserve"> CH SHELL LS WELDING</t>
  </si>
  <si>
    <t xml:space="preserve"> CH-LS WELD ARRANGEMENT</t>
  </si>
  <si>
    <t xml:space="preserve"> CH-LS WELDING- TOP SIDE</t>
  </si>
  <si>
    <t xml:space="preserve"> CH-LS WELDING- BACK CHIP</t>
  </si>
  <si>
    <t xml:space="preserve"> CH-LS INNER WELDING</t>
  </si>
  <si>
    <t xml:space="preserve"> CH-LS INNNER FLUSH GRIND</t>
  </si>
  <si>
    <t xml:space="preserve"> CH RE ROLLING</t>
  </si>
  <si>
    <t xml:space="preserve"> CH LS WELDING RADIOGRAPHY</t>
  </si>
  <si>
    <t xml:space="preserve"> CH LS WELDING RT</t>
  </si>
  <si>
    <t>dya</t>
  </si>
  <si>
    <t xml:space="preserve"> CH CS FLG 1 FIT UP</t>
  </si>
  <si>
    <t xml:space="preserve"> CH CIR EP CORRECTION</t>
  </si>
  <si>
    <t xml:space="preserve"> CH CS FIT UP FLG1</t>
  </si>
  <si>
    <t xml:space="preserve"> CH CS TACK DP CHECK FLG1</t>
  </si>
  <si>
    <t xml:space="preserve"> CH CS FLG 1 WELDING</t>
  </si>
  <si>
    <t xml:space="preserve"> CH CS WELDING TRANSFERE</t>
  </si>
  <si>
    <t xml:space="preserve"> CH CS WELDING OUTER FLG1</t>
  </si>
  <si>
    <t xml:space="preserve"> CH CS WELDING BACK CHIP FLG1</t>
  </si>
  <si>
    <t xml:space="preserve"> CH CS INNER WELDING FLG 1</t>
  </si>
  <si>
    <t xml:space="preserve"> CH CS FLUSH GRINDING FLG1</t>
  </si>
  <si>
    <t xml:space="preserve"> CH CS FLG 2 FIT UP</t>
  </si>
  <si>
    <t xml:space="preserve"> CH LENGTH CUTTING</t>
  </si>
  <si>
    <t xml:space="preserve"> CH CS FIT UP FLG2</t>
  </si>
  <si>
    <t xml:space="preserve"> CH CS FLG 2 WELDING</t>
  </si>
  <si>
    <t xml:space="preserve"> CH CS WELDING TRANSFERE FLG2</t>
  </si>
  <si>
    <t xml:space="preserve"> CH CS WELDING OUTER FLG2</t>
  </si>
  <si>
    <t xml:space="preserve"> CH CS WELDING BACK CHIP FLG2</t>
  </si>
  <si>
    <t xml:space="preserve"> CH CS INNER WELDING FLG2</t>
  </si>
  <si>
    <t xml:space="preserve"> CH CS FLUSH GRINDING FLG2</t>
  </si>
  <si>
    <t xml:space="preserve"> CH CS FLG 1 &amp; 2 WELDING rt</t>
  </si>
  <si>
    <t xml:space="preserve"> CH CS WELDING RT</t>
  </si>
  <si>
    <t>n</t>
  </si>
  <si>
    <t xml:space="preserve"> CHANNEL NOZ MARKING</t>
  </si>
  <si>
    <t>CH- NOZ IREIENTATION NKG</t>
  </si>
  <si>
    <t xml:space="preserve"> CH-NOZ MARKING- 16"NB - 2 NOS</t>
  </si>
  <si>
    <t xml:space="preserve"> CH NOZ OPNNING</t>
  </si>
  <si>
    <t xml:space="preserve"> CH-NOZ OPENNING-TOP</t>
  </si>
  <si>
    <t>400nb</t>
  </si>
  <si>
    <t xml:space="preserve"> CH-NOZ OPENNING-Bot</t>
  </si>
  <si>
    <t xml:space="preserve"> CH NOZ OPEN EP</t>
  </si>
  <si>
    <t xml:space="preserve"> CH-NOZ EP -N3A</t>
  </si>
  <si>
    <t xml:space="preserve"> CH-NOZ EP-N4A</t>
  </si>
  <si>
    <t xml:space="preserve"> CH NOZ FIT UP</t>
  </si>
  <si>
    <t xml:space="preserve"> CH-NOZ FIT UP -N3A</t>
  </si>
  <si>
    <t xml:space="preserve"> CH-NOZ FIT UP -N4A</t>
  </si>
  <si>
    <t xml:space="preserve"> CH NOZ FIT UP INSP</t>
  </si>
  <si>
    <t xml:space="preserve"> CH-NOZ INSPN -N3A</t>
  </si>
  <si>
    <t xml:space="preserve"> CH-NOZ INSPN-N4A</t>
  </si>
  <si>
    <t xml:space="preserve"> CH NOZ WELDING</t>
  </si>
  <si>
    <t xml:space="preserve"> CH NOZ WELDING ARRANGEMENT</t>
  </si>
  <si>
    <t xml:space="preserve"> CH-NOZ WELDING -N3A</t>
  </si>
  <si>
    <t>407 mm</t>
  </si>
  <si>
    <t xml:space="preserve"> CH-NOZ WELDING-N4A</t>
  </si>
  <si>
    <t xml:space="preserve"> CH NOZ ROOT DP CHECK</t>
  </si>
  <si>
    <t xml:space="preserve"> CH-NOZ INNER WELD -N3A</t>
  </si>
  <si>
    <t xml:space="preserve"> CH-NOZ INNER WELD-N4A</t>
  </si>
  <si>
    <t>RF PAD FIT UP &amp; Nozzle fit up</t>
  </si>
  <si>
    <t>RF PAD FIT UP WELDING</t>
  </si>
  <si>
    <t>NOZ WELDING FLUSH GRIND- 16"NB</t>
  </si>
  <si>
    <t>NoS</t>
  </si>
  <si>
    <t xml:space="preserve"> CHANNEL PP PLATE FIT UP</t>
  </si>
  <si>
    <t xml:space="preserve"> CH- PP PLATE FIT UP</t>
  </si>
  <si>
    <t xml:space="preserve"> CH- PP PLATE FIT UP INSP</t>
  </si>
  <si>
    <t>1560 id</t>
  </si>
  <si>
    <t xml:space="preserve"> CH PP PLATE WELDING</t>
  </si>
  <si>
    <t xml:space="preserve"> CH- PP PLATE WELDING</t>
  </si>
  <si>
    <t xml:space="preserve"> CH- PP PLATE FACE GRINDING</t>
  </si>
  <si>
    <t>12310 mm</t>
  </si>
  <si>
    <t xml:space="preserve"> CHANNEL DAVIT ARM WELDING</t>
  </si>
  <si>
    <t xml:space="preserve"> CH-DAVIT ARM arm match</t>
  </si>
  <si>
    <t>1480 lg</t>
  </si>
  <si>
    <t xml:space="preserve"> CH-DAVIT ARM FIT UP</t>
  </si>
  <si>
    <t>F,W,H</t>
  </si>
  <si>
    <t>1251 lg</t>
  </si>
  <si>
    <t xml:space="preserve"> CH-DAVIT ARM WELDING</t>
  </si>
  <si>
    <t xml:space="preserve"> CHANNEL NDE &amp; PWHT</t>
  </si>
  <si>
    <t>CH ALL WELDING DRESSUP &amp; DP CHECK</t>
  </si>
  <si>
    <t>1480lg</t>
  </si>
  <si>
    <t xml:space="preserve"> CH-CH NDE CLEARENCE</t>
  </si>
  <si>
    <t>BARREL FABRICATION</t>
  </si>
  <si>
    <t>BARREL SH PLATE CUTTING &amp; EP</t>
  </si>
  <si>
    <t>BARREL PLATE TRNASFER</t>
  </si>
  <si>
    <t>373 mm</t>
  </si>
  <si>
    <t>BARREL-MARKING</t>
  </si>
  <si>
    <t>11300 mm</t>
  </si>
  <si>
    <t>BARREL-CUTTING</t>
  </si>
  <si>
    <t>BARREL PL SIDE GRINDING</t>
  </si>
  <si>
    <t>BARREL-BEVELLING CIR SIDE</t>
  </si>
  <si>
    <t>BAR SHELL ROLLING</t>
  </si>
  <si>
    <t>BARREL-PRE BEND</t>
  </si>
  <si>
    <t>1664 mm id</t>
  </si>
  <si>
    <t>BARREL-PRE BEND CUT OFF</t>
  </si>
  <si>
    <t>BARREL -PRE LS EP</t>
  </si>
  <si>
    <t>BARREL-ROLLING</t>
  </si>
  <si>
    <t>BARREL SHELL LS FIT UP</t>
  </si>
  <si>
    <t>BARREL-LS CORRECTION</t>
  </si>
  <si>
    <t>BARREL-LS FIT UP</t>
  </si>
  <si>
    <t>BARREL SHELL LS WELDING</t>
  </si>
  <si>
    <t>BARREL-LS WELD ARRANGEMENT</t>
  </si>
  <si>
    <t>BARREL-LS WELDING- TOP SIDE</t>
  </si>
  <si>
    <t>BARREL-LS WELDING- BACK CHIP</t>
  </si>
  <si>
    <t>BARREL-LS INNER WELDING</t>
  </si>
  <si>
    <t>BARREL-LS INNNER FLUSH GRIND</t>
  </si>
  <si>
    <t>BARREL RE ROLLING</t>
  </si>
  <si>
    <t>BARREL LS WELDING RT</t>
  </si>
  <si>
    <t xml:space="preserve"> BAR LS WELDING RT</t>
  </si>
  <si>
    <t>BARREL SHELL CS FLG 1 FIT UP</t>
  </si>
  <si>
    <t xml:space="preserve"> BARREL CIR EP CORRECTION</t>
  </si>
  <si>
    <t xml:space="preserve"> BARREL CS FIT UP FLG1</t>
  </si>
  <si>
    <t xml:space="preserve"> BARREL CS TACK DP CHECK FLG1</t>
  </si>
  <si>
    <t>BARREL SH CS FLG 1 WELDING</t>
  </si>
  <si>
    <t>BARREL CS WELDING TRANSFERE</t>
  </si>
  <si>
    <t>BARREL CS WELDING OUTER FLG1</t>
  </si>
  <si>
    <t>BARREL CS WELDING BACK CHIP FLG1</t>
  </si>
  <si>
    <t>BARREL CS INNER WELDING FLG 1</t>
  </si>
  <si>
    <t>BARREL CS FLUSH GRINDING FLG1</t>
  </si>
  <si>
    <t>BARREL CS FIT UP WITH DISH</t>
  </si>
  <si>
    <t>BARREL LENGTH CUTTING</t>
  </si>
  <si>
    <t>BARREL EP</t>
  </si>
  <si>
    <t>BARREL CS FIT UP DISH</t>
  </si>
  <si>
    <t>BARREL CS TACK DP CHECK DISH</t>
  </si>
  <si>
    <t>BARREL CS WELDING WITH DISH</t>
  </si>
  <si>
    <t>BARREL CS WELDING TRANSFERE DISH</t>
  </si>
  <si>
    <t>BARREL CS WELDING OUTER DISH</t>
  </si>
  <si>
    <t>BARREL CS WELDING BACK CHIP DISH</t>
  </si>
  <si>
    <t>BARREL CS INNER WELDING DISH</t>
  </si>
  <si>
    <t>BARREL CS FLUSH GRINDING DISH</t>
  </si>
  <si>
    <t>BARREL CS FLG 1 &amp; DISH WELDING rt</t>
  </si>
  <si>
    <t>BARREL CS WELDING RT</t>
  </si>
  <si>
    <t>BARREL NOZ OREINATION MARKING</t>
  </si>
  <si>
    <t>BARREL- NOZ IREIENTATION NKG</t>
  </si>
  <si>
    <t xml:space="preserve">BARREL-NOZ MARKING- 2 </t>
  </si>
  <si>
    <t>BARREL NOZZLE OPPENING</t>
  </si>
  <si>
    <t>BARREL-NOZ OPENNING-40 NB - LWN</t>
  </si>
  <si>
    <t>40NB</t>
  </si>
  <si>
    <t>BARREL NOZ EDGE PREPARATION</t>
  </si>
  <si>
    <t>BARREL NOZZZLE FIT UP</t>
  </si>
  <si>
    <t>BARREL-NOZ FIT UP -N5A</t>
  </si>
  <si>
    <t>NO</t>
  </si>
  <si>
    <t>BARREL-NOZ FIT UP -N6A</t>
  </si>
  <si>
    <t>BARREL NOZ FIT UP INSPECTION</t>
  </si>
  <si>
    <t>BARREL-NOZ INSPN -5A</t>
  </si>
  <si>
    <t>INS</t>
  </si>
  <si>
    <t>BARREL-NOZ INSPN-6A</t>
  </si>
  <si>
    <t>BARREL NOZZLE WELDING</t>
  </si>
  <si>
    <t>BARREL NOZ WELDING ARRANGEMENT</t>
  </si>
  <si>
    <t>BARREL-NOZ WELDING -N5A</t>
  </si>
  <si>
    <t>75 MM</t>
  </si>
  <si>
    <t>BARREL-NOZ WELDING-N6A</t>
  </si>
  <si>
    <t>BARREL NOZ ROOT DP</t>
  </si>
  <si>
    <t>BARREL-NOZ INNER WELDING -N5A</t>
  </si>
  <si>
    <t>BARREL-NOZ INNER WELDING-N6A</t>
  </si>
  <si>
    <t>BARREL NOZ INNER WELD FLUSH GRIND</t>
  </si>
  <si>
    <t>BARREL ALL WELDING DRESSUP &amp; DP</t>
  </si>
  <si>
    <t>BARREL-BARREL NDE CLEARENCE</t>
  </si>
  <si>
    <t>STD</t>
  </si>
  <si>
    <t>FL HEAD FABRICATION</t>
  </si>
  <si>
    <t>FLAOTING HEAD DISH FORMING</t>
  </si>
  <si>
    <t>FL HEAD DISH PL ISSUE</t>
  </si>
  <si>
    <t>FL HEAD PL MARKING</t>
  </si>
  <si>
    <t>1550 mm id</t>
  </si>
  <si>
    <t>FL HEAD PL STAMPING</t>
  </si>
  <si>
    <t>FL HEAD PL CUTTING</t>
  </si>
  <si>
    <t>FL HEAD PL GRINDING</t>
  </si>
  <si>
    <t>FL HEAD FORMIG</t>
  </si>
  <si>
    <t>FL HEAD FORMING</t>
  </si>
  <si>
    <t>FL HEAD PROFILE CHECK</t>
  </si>
  <si>
    <t>FL HEAD CUTTING</t>
  </si>
  <si>
    <t>FL HEAD MARKING</t>
  </si>
  <si>
    <t>Hr/No</t>
  </si>
  <si>
    <t>FL HEAD EP</t>
  </si>
  <si>
    <t>FL HEAD GRINDING</t>
  </si>
  <si>
    <t>FL HEAD FIT UP</t>
  </si>
  <si>
    <t>FL HEAD WELDING</t>
  </si>
  <si>
    <t>FL HEAD PP PLATE FIT UP</t>
  </si>
  <si>
    <t>FL HEAD PP PL WELDING</t>
  </si>
  <si>
    <t>3000 mm</t>
  </si>
  <si>
    <t>FL HEAD PP PL LEVEL GRINDING</t>
  </si>
  <si>
    <t>FL HEAD INSPECTION</t>
  </si>
  <si>
    <t>FL HEAD SR &amp; MACHINING</t>
  </si>
  <si>
    <t>FL HEAD SR</t>
  </si>
  <si>
    <t>FL HEAD FINAL MACHINING</t>
  </si>
  <si>
    <t>FL HEAD HOLE MARKING</t>
  </si>
  <si>
    <t>FL HEAD HOLE DRILLING</t>
  </si>
  <si>
    <t>140 mm</t>
  </si>
  <si>
    <t>hole</t>
  </si>
  <si>
    <t>FL HEAD FINAL INSPECTION</t>
  </si>
  <si>
    <t>TUBE BUNDLE FABRICATION</t>
  </si>
  <si>
    <t xml:space="preserve"> TUBE BUNDLE ASSY</t>
  </si>
  <si>
    <t xml:space="preserve"> FRAME SET UP &amp; TUBE SHT SET UP</t>
  </si>
  <si>
    <t>F[2],W</t>
  </si>
  <si>
    <t>145T</t>
  </si>
  <si>
    <t>1308 tube</t>
  </si>
  <si>
    <t xml:space="preserve"> SKELITON ASSY- 19 baffle</t>
  </si>
  <si>
    <t>F[2],H[3]</t>
  </si>
  <si>
    <t>19 baffle</t>
  </si>
  <si>
    <t xml:space="preserve"> TUBE INSERT</t>
  </si>
  <si>
    <t>F,H[4]</t>
  </si>
  <si>
    <t>7000 lg</t>
  </si>
  <si>
    <t xml:space="preserve"> SEAL ROD INSERT &amp; WELD</t>
  </si>
  <si>
    <t>F[2],W,H[2]</t>
  </si>
  <si>
    <t>5134 lg</t>
  </si>
  <si>
    <t>SLIDING STRIP FIT UP WELDING</t>
  </si>
  <si>
    <t xml:space="preserve"> SEALING STRIP FIT UP </t>
  </si>
  <si>
    <t>4592 mm lg</t>
  </si>
  <si>
    <t xml:space="preserve"> SLIDING STRIP WELDING</t>
  </si>
  <si>
    <t>60 joints</t>
  </si>
  <si>
    <t>Joint</t>
  </si>
  <si>
    <t>SEAL/SLID TRIP WELD GRIND</t>
  </si>
  <si>
    <t>TUBE BUNDLE INSERT</t>
  </si>
  <si>
    <t>TUBE BUNDLE INSERT IN SHELL</t>
  </si>
  <si>
    <t>F[3],H[8]</t>
  </si>
  <si>
    <t>7000 LG</t>
  </si>
  <si>
    <t>FL HEAD TUBE SHT FIXING</t>
  </si>
  <si>
    <t>F[2],H[4]</t>
  </si>
  <si>
    <t>145MM</t>
  </si>
  <si>
    <t>TEST FLG &amp; GLAND ASSY</t>
  </si>
  <si>
    <t>F[3],H[6]</t>
  </si>
  <si>
    <t>165 MM</t>
  </si>
  <si>
    <t>Bolts</t>
  </si>
  <si>
    <t>TUBE EXPANSION IN GROOVES</t>
  </si>
  <si>
    <t>TUBE EXP - ST SIDE - 1 STAGE</t>
  </si>
  <si>
    <t>150 mm</t>
  </si>
  <si>
    <t>1308 nos</t>
  </si>
  <si>
    <t>Rolling</t>
  </si>
  <si>
    <t>TUBE EXP - FL SIDE - 1 STAGE</t>
  </si>
  <si>
    <t xml:space="preserve">Servo </t>
  </si>
  <si>
    <t>TUBE TRIMMING FL SIDE</t>
  </si>
  <si>
    <t>Trimm</t>
  </si>
  <si>
    <t>TUBE EXP BOTH SIDE - 4 STAGE</t>
  </si>
  <si>
    <t>F[2],H[2]</t>
  </si>
  <si>
    <t>150MM</t>
  </si>
  <si>
    <t>2616 Roll</t>
  </si>
  <si>
    <t>TUBE EXP- PNUEMATIC TEST</t>
  </si>
  <si>
    <t>TUBE EXP PNUEMATIC TEST</t>
  </si>
  <si>
    <t>Test</t>
  </si>
  <si>
    <t>PNUEMATIC TEST TPI WITNESS</t>
  </si>
  <si>
    <t xml:space="preserve">CLEANING </t>
  </si>
  <si>
    <t>TUBE TUBE SHEET WELDING- FT SIDE</t>
  </si>
  <si>
    <t>TUBE WELDING - ST SIDE ROOT</t>
  </si>
  <si>
    <t>TW,H</t>
  </si>
  <si>
    <t>25.4 od</t>
  </si>
  <si>
    <t>Run</t>
  </si>
  <si>
    <t>TUBE WELDING - ST SIDE ROOT DP</t>
  </si>
  <si>
    <t>TUBE WELDING - ST SIDE FINAL WELD</t>
  </si>
  <si>
    <t>TUBE WELDING - ST SIDE FINAL DP</t>
  </si>
  <si>
    <t>TUBE TO TUBE SHEET WELDING - FL HEAD SIDE</t>
  </si>
  <si>
    <t>TUBE WELDING - FLH SIDE ROOT</t>
  </si>
  <si>
    <t>TUBE WELDING - FLH SIDE ROOT DP</t>
  </si>
  <si>
    <t>TUBE WELDING - FLH SIDE FINAL WELD</t>
  </si>
  <si>
    <t>TUBE WELDING - FLH SIDE FINAL DP</t>
  </si>
  <si>
    <t>SHELL SIDE HYDRO</t>
  </si>
  <si>
    <t>SHELL SIDE WATER FILLING</t>
  </si>
  <si>
    <t xml:space="preserve"> SHELL SIDE TPI WITNESS</t>
  </si>
  <si>
    <t xml:space="preserve"> DE WATERING &amp; DISMANTLE OF GLAND</t>
  </si>
  <si>
    <t xml:space="preserve"> BAR-DISH BLANK MARKING - 24 * 1670</t>
  </si>
  <si>
    <t>SF MARKING</t>
  </si>
  <si>
    <t>SF CUTTING</t>
  </si>
  <si>
    <t>SF GRIDNING &amp; EP</t>
  </si>
  <si>
    <t>TUBE SHEET MACHINING 1 OFF 2</t>
  </si>
  <si>
    <t>INWARD INSPECTION</t>
  </si>
  <si>
    <t>TUBE SHEET M/C - 1/2</t>
  </si>
  <si>
    <t>EXP GROOVE+WELDING GROOVE -2/2</t>
  </si>
  <si>
    <t>TIE ROD, PULLING, LIFTING HOLE - 2/2</t>
  </si>
  <si>
    <t>SH NOZZLE PIPE PROFILE CUTTING</t>
  </si>
  <si>
    <t>INTER CONNECTION NOZZLE WELDING</t>
  </si>
  <si>
    <t>BOT SH , CH AND TOP SH ,CH STACKING</t>
  </si>
  <si>
    <t>INTER CON NOZ FIT UP - ON SH</t>
  </si>
  <si>
    <t>INTER CON NOZ FIT UP- ON CH</t>
  </si>
  <si>
    <t>400NB</t>
  </si>
  <si>
    <t>INTER CON NOZ WELDING - ON SH</t>
  </si>
  <si>
    <t>972 mm dia</t>
  </si>
  <si>
    <t>INTER CON NOZ WELDING- ON CH</t>
  </si>
  <si>
    <t>407 mm dia</t>
  </si>
  <si>
    <t>DISMANTLING</t>
  </si>
  <si>
    <t>INTER CON NOZ FLUSH GRIND &amp; DP-ON SH</t>
  </si>
  <si>
    <t>INTER CON NOZ FLUSH GRIND &amp; DP-ON CH</t>
  </si>
  <si>
    <t>IN CON NOZ RT</t>
  </si>
  <si>
    <t xml:space="preserve"> TUBE TUBE SHEET WELDING- FT SIDE</t>
  </si>
  <si>
    <t xml:space="preserve"> TUBE WELDING - ST SIDE ROOT</t>
  </si>
  <si>
    <t xml:space="preserve"> TUBE WELDING - ST SIDE ROOT DP</t>
  </si>
  <si>
    <t xml:space="preserve"> TUBE WELDING - ST SIDE FINAL WELD</t>
  </si>
  <si>
    <t xml:space="preserve"> TUBE WELDING - ST SIDE FINAL DP</t>
  </si>
  <si>
    <t xml:space="preserve"> TUBE WELDING - FLH SIDE ROOT</t>
  </si>
  <si>
    <t xml:space="preserve"> TUBE WELDING - FLH SIDE ROOT DP</t>
  </si>
  <si>
    <t xml:space="preserve"> TUBE WELDING - FLH SIDE FINAL WELD</t>
  </si>
  <si>
    <t xml:space="preserve"> TUBE WELDING - FLH SIDE FINAL DP</t>
  </si>
  <si>
    <t xml:space="preserve"> SHELL SIDE HYDRO</t>
  </si>
  <si>
    <t xml:space="preserve">CHANNEL SIDE HYDRO - STACKED </t>
  </si>
  <si>
    <t>HE 1 &amp; 2 STACKING</t>
  </si>
  <si>
    <t>CH &amp; INT CON NOZ TIGHT</t>
  </si>
  <si>
    <t>9178 lg</t>
  </si>
  <si>
    <t>WATER FILL</t>
  </si>
  <si>
    <t>CH SIDE HYDRO</t>
  </si>
  <si>
    <t>CH SIDE HYDRO TPI WITNESS</t>
  </si>
  <si>
    <t>DE WATERING</t>
  </si>
  <si>
    <t xml:space="preserve">SHELL SIDE HYDRO - STACKED </t>
  </si>
  <si>
    <t>BARREL ASSY</t>
  </si>
  <si>
    <t>SHELL SIDE HYDRO- STACKED TPI WITNESS</t>
  </si>
  <si>
    <t>NITORGEN PURGING</t>
  </si>
  <si>
    <t>N2 GAS PURGING</t>
  </si>
  <si>
    <t>PAINTING</t>
  </si>
  <si>
    <t>PRIMER PAINTING</t>
  </si>
  <si>
    <t>INTERMEDIATE PAINTING</t>
  </si>
  <si>
    <t>TOP COAT PAINTING</t>
  </si>
  <si>
    <t xml:space="preserve"> SH PLATE-SA 516 Gr60</t>
  </si>
  <si>
    <t xml:space="preserve"> SH GIRTH FLANGE-SA266 Gr4</t>
  </si>
  <si>
    <t xml:space="preserve"> CH PLATE-SA 516 Gr60</t>
  </si>
  <si>
    <t xml:space="preserve"> CH GIRTH FLANGE-SA 266 Gr4</t>
  </si>
  <si>
    <t xml:space="preserve"> BARREL DISH BLANK ISSUENCE</t>
  </si>
  <si>
    <t xml:space="preserve"> BARREL-DISH BLANK MARKING - 24 * 1670 OD</t>
  </si>
  <si>
    <t xml:space="preserve"> BARREL-DISH BLANK MARKING INSPECTION</t>
  </si>
  <si>
    <t xml:space="preserve"> BARREL-DISH BLANK CUTTING</t>
  </si>
  <si>
    <t xml:space="preserve"> BARREL-DISH FORMING</t>
  </si>
  <si>
    <t>1664 id</t>
  </si>
  <si>
    <t>day</t>
  </si>
  <si>
    <t>NOZ FAB</t>
  </si>
  <si>
    <t xml:space="preserve"> SH NOZ PIPE PROFILE CUTTING</t>
  </si>
  <si>
    <t xml:space="preserve"> SH NOZ PIPE PR0FILE EP</t>
  </si>
  <si>
    <t>272 mm</t>
  </si>
  <si>
    <t>CH NOZ PIPE PROFILE CUTTING</t>
  </si>
  <si>
    <t>CH NOZ PIPE PR0FILE EP</t>
  </si>
  <si>
    <t>F[2],H[2],W</t>
  </si>
  <si>
    <t xml:space="preserve"> CH COVER HANDLE PREPATAION</t>
  </si>
  <si>
    <t>Hra</t>
  </si>
  <si>
    <t xml:space="preserve"> SH MARKING &amp; CUTTING</t>
  </si>
  <si>
    <t xml:space="preserve"> SH PLATE CUTTING</t>
  </si>
  <si>
    <t xml:space="preserve"> SH PLATE EDGE PREPARATION</t>
  </si>
  <si>
    <t xml:space="preserve"> SH PRE BENDING</t>
  </si>
  <si>
    <t xml:space="preserve"> SH PL PRE BEND CUT OFF</t>
  </si>
  <si>
    <t xml:space="preserve"> SH PLATE LS EP</t>
  </si>
  <si>
    <t xml:space="preserve"> SH ROLLING</t>
  </si>
  <si>
    <t xml:space="preserve"> SH CIR LENGTH &amp; EP CORRECTION</t>
  </si>
  <si>
    <t xml:space="preserve"> SH LS SEAMS FIT UP</t>
  </si>
  <si>
    <t xml:space="preserve"> SH LONG SEAM OUTER WELDING</t>
  </si>
  <si>
    <t xml:space="preserve"> NOZ ORIENTATION  MARKING</t>
  </si>
  <si>
    <t xml:space="preserve"> SH NOZ OPENNING</t>
  </si>
  <si>
    <t xml:space="preserve"> SH NOZ EP</t>
  </si>
  <si>
    <t xml:space="preserve"> SH NOZ FIT UP INSPECTION</t>
  </si>
  <si>
    <t xml:space="preserve"> SH NOZ WELDING</t>
  </si>
  <si>
    <t>CH FABRICATION</t>
  </si>
  <si>
    <t xml:space="preserve"> CH SH ROLLING</t>
  </si>
  <si>
    <t xml:space="preserve"> CH NOZ MARKING</t>
  </si>
  <si>
    <t>RF PAD FIT UP &amp; NOZ fit up</t>
  </si>
  <si>
    <t xml:space="preserve"> CH PP PLATE FIT UP</t>
  </si>
  <si>
    <t xml:space="preserve"> CH DAVIT ARM WELDING</t>
  </si>
  <si>
    <t xml:space="preserve"> CH NDE &amp; PWHT</t>
  </si>
  <si>
    <t>BARREL SHELL ROLLING</t>
  </si>
  <si>
    <t>BARREL NOZ OPPENING</t>
  </si>
  <si>
    <t>BARREL NOZ WELDING</t>
  </si>
  <si>
    <t>SEALING TRIP WELD GRIND</t>
  </si>
  <si>
    <t xml:space="preserve"> SH SIDE HYDRO</t>
  </si>
  <si>
    <t>SH SIDE WATER FILLING</t>
  </si>
  <si>
    <t xml:space="preserve"> SH SIDE TPI WITNESS</t>
  </si>
  <si>
    <t>133-EE-1006-B</t>
  </si>
  <si>
    <t>INTER CONNECTION NOZ WELDING</t>
  </si>
  <si>
    <t>Dia</t>
  </si>
  <si>
    <t>INTER CON NOZ FLUSH GRIND &amp; DP - ON SH</t>
  </si>
  <si>
    <t>INTER CON NOZ FLUSH GRIND &amp; DP  - ON CH</t>
  </si>
  <si>
    <t xml:space="preserve">CH SIDE HYDRO - STACKED </t>
  </si>
  <si>
    <t xml:space="preserve">SH SIDE HYDRO - STACKED </t>
  </si>
  <si>
    <t>BARREL ASSEBLY</t>
  </si>
  <si>
    <t>PLATE THK</t>
  </si>
  <si>
    <t>MARKING</t>
  </si>
  <si>
    <t>CUTTING</t>
  </si>
  <si>
    <t>SURFACE GRINDING</t>
  </si>
  <si>
    <t>BEVEL CUTTING</t>
  </si>
  <si>
    <t>BEVEL GRINDING</t>
  </si>
  <si>
    <t>PRE BENDING</t>
  </si>
  <si>
    <t>PRE BEND CUT OFF</t>
  </si>
  <si>
    <t>LONG SEAM EP</t>
  </si>
  <si>
    <t>LS FIT UP</t>
  </si>
  <si>
    <t>WELDING  ARRANGEMENT</t>
  </si>
  <si>
    <t>LS WELDING</t>
  </si>
  <si>
    <t>CS EP CORRECTION</t>
  </si>
  <si>
    <t>SH LENGTH CUTTING</t>
  </si>
  <si>
    <t>CIR SEAM EP</t>
  </si>
  <si>
    <t>CIR SEAM FIT UP</t>
  </si>
  <si>
    <t>CIR SEAM WELDING</t>
  </si>
  <si>
    <t>CIR SEAM BACK CHIP</t>
  </si>
  <si>
    <t>CIR SEAM INSIDE WELD</t>
  </si>
  <si>
    <t>CIR SEAM FLUSH GRIND</t>
  </si>
  <si>
    <t>DAVIT ARM FIT UP</t>
  </si>
  <si>
    <t>FILLET WELDING</t>
  </si>
  <si>
    <t>FILLET +GROOVE WELDING</t>
  </si>
  <si>
    <t>PIPE</t>
  </si>
  <si>
    <t>PIPE MARKING</t>
  </si>
  <si>
    <t>PIPE CUTTING</t>
  </si>
  <si>
    <t>PIPE EP</t>
  </si>
  <si>
    <t>PIPE+FLG FIT UP</t>
  </si>
  <si>
    <t>NOZZLE OPEN</t>
  </si>
  <si>
    <t>PIPE FLUSH GRIND</t>
  </si>
  <si>
    <t>PIPE PROFILE MARKING</t>
  </si>
  <si>
    <t>PIPE PROFILE CUTTING</t>
  </si>
  <si>
    <t>PIPE  PROFILE  GRINDING</t>
  </si>
  <si>
    <t>NOZ+SHELL FIT UP</t>
  </si>
  <si>
    <t>RF PAD CUTTING</t>
  </si>
  <si>
    <t>RF PAD GRINDING</t>
  </si>
  <si>
    <t>RF PAD FORMING</t>
  </si>
  <si>
    <t>RF PAD FITP</t>
  </si>
  <si>
    <t>RF PAD WELDING</t>
  </si>
  <si>
    <t>RF PAD AIR TEST</t>
  </si>
  <si>
    <t>RF PAD MARKING</t>
  </si>
  <si>
    <t>NOZZLE WORK</t>
  </si>
  <si>
    <t>DIA</t>
  </si>
  <si>
    <t>FRAME SET UP</t>
  </si>
  <si>
    <t>ST TUBE SET ASSY</t>
  </si>
  <si>
    <t>TIE ROD FIX</t>
  </si>
  <si>
    <t>BAFFLE FIXING</t>
  </si>
  <si>
    <t>TUBE INSERT</t>
  </si>
  <si>
    <t>FL HEAD TUBE SHT FIX</t>
  </si>
  <si>
    <t>SEAL+SLID ST FIT UP</t>
  </si>
  <si>
    <t>SEAL+SLID ST WELDING</t>
  </si>
  <si>
    <t>SEAL ROD WELDING</t>
  </si>
  <si>
    <t>SEAL/SLID WELD GRIND</t>
  </si>
  <si>
    <t>BUNDLE INSERT</t>
  </si>
  <si>
    <t>BOLT ASSY</t>
  </si>
  <si>
    <t>BOLT LOOSENNING</t>
  </si>
  <si>
    <t>CHANNEL ASSY</t>
  </si>
  <si>
    <t>CH COVER ASSY</t>
  </si>
  <si>
    <t>FL HEAD ASSY</t>
  </si>
  <si>
    <t>TUBE EXP</t>
  </si>
  <si>
    <t>TUBE TRIMMING</t>
  </si>
  <si>
    <t>TUBE WELDING</t>
  </si>
  <si>
    <t>ACTIVITY J 4220 B</t>
  </si>
  <si>
    <t>MOC</t>
  </si>
  <si>
    <t>W</t>
  </si>
  <si>
    <t>LONG/ CIR</t>
  </si>
  <si>
    <t>WORK</t>
  </si>
  <si>
    <t>BENCH MARK TIME</t>
  </si>
  <si>
    <t>SETTING TIME</t>
  </si>
  <si>
    <t>DURATION -HR</t>
  </si>
  <si>
    <t>SH-MARKING</t>
  </si>
  <si>
    <t>CS</t>
  </si>
  <si>
    <t>M</t>
  </si>
  <si>
    <t>-</t>
  </si>
  <si>
    <t>SH-CUTTING</t>
  </si>
  <si>
    <t>SH-SIDE GRINDING</t>
  </si>
  <si>
    <t>SH-BEVEL CUTTING</t>
  </si>
  <si>
    <t>SH-BEVEL GRINDING</t>
  </si>
  <si>
    <t>SH-PRE BENDING</t>
  </si>
  <si>
    <t>SH-PRE BEND CUT OFF</t>
  </si>
  <si>
    <t>SH-LONG SEAM BEVEL</t>
  </si>
  <si>
    <t>SH-LS EP</t>
  </si>
  <si>
    <t>MTR</t>
  </si>
  <si>
    <t>SH-ROLLING</t>
  </si>
  <si>
    <t>SH-LS FIT UP</t>
  </si>
  <si>
    <t>1500 ID</t>
  </si>
  <si>
    <t>SH-LS TACK DP CHECK</t>
  </si>
  <si>
    <t>SH-LS WELDING ARRANGMENT</t>
  </si>
  <si>
    <t>SH-LS WELDING- OUTER</t>
  </si>
  <si>
    <t>SH-LS WELDING BACK CHIIP</t>
  </si>
  <si>
    <t>1500 id</t>
  </si>
  <si>
    <t>SH-LS WELDING INNER</t>
  </si>
  <si>
    <t>SH-LS WLDING FLUSH GRIND</t>
  </si>
  <si>
    <t>SH-RE ROLLING</t>
  </si>
  <si>
    <t>1500ID</t>
  </si>
  <si>
    <t>SH- LS RT</t>
  </si>
  <si>
    <t>1550 ID</t>
  </si>
  <si>
    <t>2500 LG</t>
  </si>
  <si>
    <t>1 DAY</t>
  </si>
  <si>
    <t>2000 LG</t>
  </si>
  <si>
    <t>1000 LG</t>
  </si>
  <si>
    <t>SH-CS EP CORRECTION</t>
  </si>
  <si>
    <t>SH-CIR SEAM FIT UP -1</t>
  </si>
  <si>
    <t>SH-CIR SEAM FIT UP -2</t>
  </si>
  <si>
    <t>ID-MM</t>
  </si>
  <si>
    <t>LONG-MM</t>
  </si>
  <si>
    <t>SH-CIR SEAM WLDING-1</t>
  </si>
  <si>
    <t>HR/MTR</t>
  </si>
  <si>
    <t>SH-CIR SEAM WLDING-2</t>
  </si>
  <si>
    <t>SH-CIR SEAM BACK CHIP-1</t>
  </si>
  <si>
    <t>SH-CIR SEAM BACK CHIP-2</t>
  </si>
  <si>
    <t>SH-CIR SEAM INNER WELDING-1</t>
  </si>
  <si>
    <t>SH-CIR SEAM INNER WELDING-2</t>
  </si>
  <si>
    <t>SH-CIR SEAM FIT UP - 8 MTR</t>
  </si>
  <si>
    <t>SH-CIR SEAM WELDING</t>
  </si>
  <si>
    <t>SH-CIR SEAM BACK CHIP</t>
  </si>
  <si>
    <t>SH-CIR SEAM INNER WELDING</t>
  </si>
  <si>
    <t xml:space="preserve">SH-CIR SEAM FLUSH GRIND </t>
  </si>
  <si>
    <t>SH-CIR SEAM RT</t>
  </si>
  <si>
    <t>SH-TOTAL LENGTH MKG</t>
  </si>
  <si>
    <t>SH- TOTAL LENGTH CTG</t>
  </si>
  <si>
    <t>SH- CS EP BOTH SIDE</t>
  </si>
  <si>
    <t>SH-CS FLG 1&amp;2 FIT UP</t>
  </si>
  <si>
    <t>SH-CS FLG 1&amp;2 WELDING</t>
  </si>
  <si>
    <t>SH-CS FLG 1&amp;2 BACK CHIP</t>
  </si>
  <si>
    <t>SH-CS FLG 1&amp;2 INNER WELD</t>
  </si>
  <si>
    <t>SH-OREINTAION MARKING</t>
  </si>
  <si>
    <t>8437 LG</t>
  </si>
  <si>
    <t>SH-NOZZLE MARKING</t>
  </si>
  <si>
    <t>std</t>
  </si>
  <si>
    <t>30"</t>
  </si>
  <si>
    <t>SRN</t>
  </si>
  <si>
    <t>SH-NOZZLE OPENNIING</t>
  </si>
  <si>
    <t>ON SHELL</t>
  </si>
  <si>
    <t>SH-NOZZLE OPENNIING EP</t>
  </si>
  <si>
    <t>SH-NOZ FIT UP</t>
  </si>
  <si>
    <t>SH-NOZ WELDING</t>
  </si>
  <si>
    <t>SH-NOZ WELDIG BACK CHIP</t>
  </si>
  <si>
    <t>SH-NOZ INNER WELDING</t>
  </si>
  <si>
    <t>SH-SUPPORT PAD FIT UP</t>
  </si>
  <si>
    <t>SH-WELDING</t>
  </si>
  <si>
    <t>SH-SUPPORT FIT UP</t>
  </si>
  <si>
    <t>SH-SUPPORT WELDING</t>
  </si>
  <si>
    <t>SH- DAVIT SUPPORT FIT UP</t>
  </si>
  <si>
    <t>SH- DAVIT WELDING</t>
  </si>
  <si>
    <t>SC-DISH BLANK MARKING</t>
  </si>
  <si>
    <t>SC- DISH BLANK CUTTING</t>
  </si>
  <si>
    <t>SC- DISH BLANK GRINDING</t>
  </si>
  <si>
    <t>SC-SH MARKING</t>
  </si>
  <si>
    <t>SC- SH CUTTING</t>
  </si>
  <si>
    <t>SC- SH GRINDING</t>
  </si>
  <si>
    <t>SC- SH BEVEL CUTTING</t>
  </si>
  <si>
    <t>SC- SH BEVEL GRINDING</t>
  </si>
  <si>
    <t>SC-PRE BENDING</t>
  </si>
  <si>
    <t>1640 ID</t>
  </si>
  <si>
    <t>425 LG</t>
  </si>
  <si>
    <t>SC-PRE BEND CUT OFF</t>
  </si>
  <si>
    <t>SC-LONG SEAM BEVEL</t>
  </si>
  <si>
    <t>SC-ROLLING</t>
  </si>
  <si>
    <t>425LG</t>
  </si>
  <si>
    <t>SC-LS CORRECTION</t>
  </si>
  <si>
    <t>SC-LS FIT UP</t>
  </si>
  <si>
    <t>SC-LS WELDING ARRANGMENT</t>
  </si>
  <si>
    <t>SC-LS WELDING- OUTER</t>
  </si>
  <si>
    <t>SC-LS WELDING BACK CHIIP</t>
  </si>
  <si>
    <t>SC-LS WELDING INNER</t>
  </si>
  <si>
    <t>SC-LS WLDING FLUSH GRIND</t>
  </si>
  <si>
    <t>SC-RE ROLLING</t>
  </si>
  <si>
    <t>SC- LS RT</t>
  </si>
  <si>
    <t>SC-CS EP CORRECTION</t>
  </si>
  <si>
    <t>SC-CIR SEAM FIT UP -DISH</t>
  </si>
  <si>
    <t>SC-CIR SEAM WLDING</t>
  </si>
  <si>
    <t>SC-CIR SEAM BACK CHIP</t>
  </si>
  <si>
    <t>SC-CIR SEAM INNER WELDING</t>
  </si>
  <si>
    <t>SC-CIR SEAM FIT UP FLG</t>
  </si>
  <si>
    <t>SC-CIR SEAM WELDING</t>
  </si>
  <si>
    <t xml:space="preserve">SC-CIR SEAM FLUSH GRIND </t>
  </si>
  <si>
    <t>SC-CIR SEAM RT</t>
  </si>
  <si>
    <t>SC-OREINTAION MARKING</t>
  </si>
  <si>
    <t>SC-NOZZLE OPENNIING</t>
  </si>
  <si>
    <t>2"NB</t>
  </si>
  <si>
    <t>SC-NOZZLE EP</t>
  </si>
  <si>
    <t>SC-NOZ FIT UP</t>
  </si>
  <si>
    <t>SC-NOZ WELDING</t>
  </si>
  <si>
    <t>SC-NOZ INNER WELDING</t>
  </si>
  <si>
    <t>CH-MARKING</t>
  </si>
  <si>
    <t>CH-CUTTING</t>
  </si>
  <si>
    <t>CH-SIDE GRINDING</t>
  </si>
  <si>
    <t>CH-BEVEL CUTTING</t>
  </si>
  <si>
    <t>CH-BEVEL GRINDING</t>
  </si>
  <si>
    <t>CH-PRE BENDING</t>
  </si>
  <si>
    <t>CH-PRE BEND CUT OFF</t>
  </si>
  <si>
    <t>CH-LONG SEAM BEVEL</t>
  </si>
  <si>
    <t>CH-ROLLING</t>
  </si>
  <si>
    <t>CH-LS EP CORRECTION</t>
  </si>
  <si>
    <t>CH-LS FIT UP</t>
  </si>
  <si>
    <t>CH-LS WELDING ARRANGMENT</t>
  </si>
  <si>
    <t>CH-LS WELDING- OUTER</t>
  </si>
  <si>
    <t>CH-LS WELDING BACK CHIIP</t>
  </si>
  <si>
    <t>CH-LS WELDING INNER</t>
  </si>
  <si>
    <t>CH-LS WLDING FLUSH GRIND</t>
  </si>
  <si>
    <t>CH-RE ROLLING</t>
  </si>
  <si>
    <t>CH- LS RT</t>
  </si>
  <si>
    <t>CH-CS LENGTH &amp; EP COR</t>
  </si>
  <si>
    <t>CH-CIR SEAM FIT UP - 2 FLG</t>
  </si>
  <si>
    <t>CH-CIR SEAM WLDING</t>
  </si>
  <si>
    <t>CH-CIR SEAM BACK CHIP</t>
  </si>
  <si>
    <t>CH-CIR SEAM INNER WELDING</t>
  </si>
  <si>
    <t xml:space="preserve">CH-CIR SEAM FLUSH GRIND </t>
  </si>
  <si>
    <t>CH-CIR SEAM RT</t>
  </si>
  <si>
    <t>CH-OREINTAION MARKING</t>
  </si>
  <si>
    <t>CH-NOZZLE OPENNIING</t>
  </si>
  <si>
    <t>CH-NOZ FIT UP</t>
  </si>
  <si>
    <t>CH-NOZ WELDING</t>
  </si>
  <si>
    <t>CHC-NOZ WELD BACK CHIP</t>
  </si>
  <si>
    <t>CH-NOZ INNER WELDING</t>
  </si>
  <si>
    <t>CH-NOZ INNER WELD FLUSH GRIND</t>
  </si>
  <si>
    <t>CH-PP PL MARKING</t>
  </si>
  <si>
    <t>CH-PP PL CUTTING</t>
  </si>
  <si>
    <t>CH-PP PL GRINDING</t>
  </si>
  <si>
    <t>CH-PP PL FIT UP</t>
  </si>
  <si>
    <t>CH-PP PL WELDING</t>
  </si>
  <si>
    <t>SH- all welding dress up</t>
  </si>
  <si>
    <t>FL H DISH MARKING</t>
  </si>
  <si>
    <t>FL H DISH CUTTING</t>
  </si>
  <si>
    <t>FL H DISH GRINDING</t>
  </si>
  <si>
    <t>FL H DISH FORMING</t>
  </si>
  <si>
    <t>DAYS</t>
  </si>
  <si>
    <t>10 DAYS</t>
  </si>
  <si>
    <t>FL H DISH MKG AFTER FORM</t>
  </si>
  <si>
    <t>FL H DISH BEVEL CUTTING</t>
  </si>
  <si>
    <t>BOTH SIDE</t>
  </si>
  <si>
    <t>FL H DISH BEVEL GRINDING</t>
  </si>
  <si>
    <t>FL H DISH FIT UP</t>
  </si>
  <si>
    <t>FL H DISH WELDING</t>
  </si>
  <si>
    <t>FH-PP PL MARKING</t>
  </si>
  <si>
    <t>FH-PP PL CUTTING</t>
  </si>
  <si>
    <t>FH-PP PL GRINDING</t>
  </si>
  <si>
    <t>FH-PP PL FIT UP</t>
  </si>
  <si>
    <t>FH-PP PL WELDING</t>
  </si>
  <si>
    <t>FH  GRINDING</t>
  </si>
  <si>
    <t>SEAL ST-MARKING</t>
  </si>
  <si>
    <t>SLAIDING ST-MARKING</t>
  </si>
  <si>
    <t>IMP PL MARKING</t>
  </si>
  <si>
    <t>IMP ROD MARKING</t>
  </si>
  <si>
    <t>DIA 25.4</t>
  </si>
  <si>
    <t>~ 1450</t>
  </si>
  <si>
    <t>HR/ NO</t>
  </si>
  <si>
    <t>SEAL ROD MARKING</t>
  </si>
  <si>
    <t>~7000</t>
  </si>
  <si>
    <t>TIE ROD MARKING</t>
  </si>
  <si>
    <t>DIA 12</t>
  </si>
  <si>
    <t>~ 8000</t>
  </si>
  <si>
    <t>SPACER MARKING</t>
  </si>
  <si>
    <t>21.8 d</t>
  </si>
  <si>
    <t>CON PIECE MARKING</t>
  </si>
  <si>
    <t>SEAL ST-CUTTING</t>
  </si>
  <si>
    <t>SLAIDING ST-CUTTING</t>
  </si>
  <si>
    <t>IMP PL CUTTING</t>
  </si>
  <si>
    <t>IMP ROD CUTTING</t>
  </si>
  <si>
    <t>SEAL ROD CUTTING</t>
  </si>
  <si>
    <t>TIE ROD CUTTING</t>
  </si>
  <si>
    <t>SPACER CUTTING</t>
  </si>
  <si>
    <t>CON PIECE CUTTING</t>
  </si>
  <si>
    <t>SEAL ST-GRINDING</t>
  </si>
  <si>
    <t>SLAIDING ST-GRINDING</t>
  </si>
  <si>
    <t>IMP PL GRININD</t>
  </si>
  <si>
    <t>IMP ROD M/C</t>
  </si>
  <si>
    <t>SEAL ROD M/C</t>
  </si>
  <si>
    <t>TIE ROD M/C</t>
  </si>
  <si>
    <t>SPACER M/C</t>
  </si>
  <si>
    <t>CON PIECE DRILLING</t>
  </si>
  <si>
    <t>TS ASSY</t>
  </si>
  <si>
    <t>TIE ROD ASSY</t>
  </si>
  <si>
    <t>BAFFLE ASSY</t>
  </si>
  <si>
    <t>SEAL ROD ASSY</t>
  </si>
  <si>
    <t>SEAL STRIP FITUP</t>
  </si>
  <si>
    <t>SLIDING STRIP FIT UP</t>
  </si>
  <si>
    <t>WELDING</t>
  </si>
  <si>
    <t>GRINDING</t>
  </si>
  <si>
    <t>BUNDLE INDERT</t>
  </si>
  <si>
    <t>FLH TUBE SHEET ASSY</t>
  </si>
  <si>
    <t>GLAND &amp; TEST RING ASSY</t>
  </si>
  <si>
    <t>TUBE EXP ST SIDE STG1</t>
  </si>
  <si>
    <t>TUBE EXP FL SIDE STG1</t>
  </si>
  <si>
    <t>TUBE EXPANSION BOTH SIDE</t>
  </si>
  <si>
    <t>AIR LEAK TEST</t>
  </si>
  <si>
    <t>DISMANTLE TEST RING</t>
  </si>
  <si>
    <t>BOLT</t>
  </si>
  <si>
    <t>ASSY OF CH &amp; FL HEAD</t>
  </si>
  <si>
    <t>ASSY OF BARREL</t>
  </si>
  <si>
    <t>NOZ PIPE-MARKING</t>
  </si>
  <si>
    <t>NOZ PIPE-CUTTING</t>
  </si>
  <si>
    <t>NOZ PIPE-EP</t>
  </si>
  <si>
    <t>NOZ PIPE+FIT UP</t>
  </si>
  <si>
    <t>PIPE NB</t>
  </si>
  <si>
    <t>PIPE OD</t>
  </si>
  <si>
    <t>NOZ PIPE + FLG WELD</t>
  </si>
  <si>
    <t>NOZ BORE FLUSH GRIND</t>
  </si>
  <si>
    <t>NOZ PROFILE MARKING</t>
  </si>
  <si>
    <t>NOZ PROFILE CUTTING</t>
  </si>
  <si>
    <t>NOZ PROFILE GRINDING</t>
  </si>
  <si>
    <t>NB</t>
  </si>
  <si>
    <t>RF PAD EP</t>
  </si>
  <si>
    <t>WIDTH</t>
  </si>
  <si>
    <t>LENGTH</t>
  </si>
  <si>
    <t>SAD PAD- TOP-MARKING</t>
  </si>
  <si>
    <t>SAD PAD- BOT-MARKING</t>
  </si>
  <si>
    <t>SAD BASE- TOP-MARKING</t>
  </si>
  <si>
    <t>SAD BASE- BOT-MARKING</t>
  </si>
  <si>
    <t>SAD WEB- TOP-MARKING</t>
  </si>
  <si>
    <t>SAD RIB-MARKING</t>
  </si>
  <si>
    <t>SAD PAD- TOP-CUTTING</t>
  </si>
  <si>
    <t>SAD PAD- BOT-CUTTING</t>
  </si>
  <si>
    <t>SAD BASE- TOP-CUTTING</t>
  </si>
  <si>
    <t>SAD BASE- BOT-CUTTING</t>
  </si>
  <si>
    <t>SAD WEB- TOP-CUTTING</t>
  </si>
  <si>
    <t>SAD RIB-CUTTING</t>
  </si>
  <si>
    <t>SADDLE FIT UP</t>
  </si>
  <si>
    <t>SADDLE FIT WELDING</t>
  </si>
  <si>
    <t>vessel od</t>
  </si>
  <si>
    <t>Pad thk</t>
  </si>
  <si>
    <t>Total OD</t>
  </si>
  <si>
    <t>Half Support</t>
  </si>
  <si>
    <t>thk</t>
  </si>
  <si>
    <t>fillet size</t>
  </si>
  <si>
    <t>Long</t>
  </si>
  <si>
    <t>Qty</t>
  </si>
  <si>
    <t>Length of welding</t>
  </si>
  <si>
    <t>welding hr</t>
  </si>
  <si>
    <t>welding time - Hr</t>
  </si>
  <si>
    <t>Saddle base + Web</t>
  </si>
  <si>
    <t>Web+Rib</t>
  </si>
  <si>
    <t>Base to Rib</t>
  </si>
  <si>
    <t>No of Side</t>
  </si>
  <si>
    <t>Tolal long</t>
  </si>
  <si>
    <t>FULL SUPPOR</t>
  </si>
  <si>
    <t>Base to Web- Bot &amp; bot</t>
  </si>
  <si>
    <t>Web to side</t>
  </si>
  <si>
    <t>Side to base</t>
  </si>
  <si>
    <t>Rib to Web</t>
  </si>
  <si>
    <t>Rib to base</t>
  </si>
  <si>
    <t>SC-SH MARKING ,CUTTING &amp; GRINDING</t>
  </si>
  <si>
    <t>SC-SH PRE BEND</t>
  </si>
  <si>
    <t>SC- SH ROLLING &amp; LS FIT UP</t>
  </si>
  <si>
    <t>SC- DISH FLG FIT UP &amp; WELDING</t>
  </si>
  <si>
    <t>SHELL COVER ORENTAION MARKING</t>
  </si>
  <si>
    <t>CH  MARKING ,CUTTING &amp; ROLLING</t>
  </si>
  <si>
    <t>CH LS FIT &amp; WELDING</t>
  </si>
  <si>
    <t>CH FLG FIT &amp; WELDING</t>
  </si>
  <si>
    <t>CH OIRENTAION NOZ WELDING</t>
  </si>
  <si>
    <t>CH PP PLATE MKG, CTG,WELDING</t>
  </si>
  <si>
    <t>FL HEAD DISH</t>
  </si>
  <si>
    <t>TB ITEMS</t>
  </si>
  <si>
    <t>TUBE BUNDLE ASSY</t>
  </si>
  <si>
    <t>JOB NO</t>
  </si>
  <si>
    <t>PART NO</t>
  </si>
  <si>
    <t>ITEM</t>
  </si>
  <si>
    <t>OPERATION</t>
  </si>
  <si>
    <t>DIAMETER</t>
  </si>
  <si>
    <t>LONG</t>
  </si>
  <si>
    <t>EDGE PREPARATION</t>
  </si>
  <si>
    <t>FIT UP</t>
  </si>
  <si>
    <t>BACK CHIP</t>
  </si>
  <si>
    <t>INSIDE WELDING</t>
  </si>
  <si>
    <t>FLUSH GRINDINH</t>
  </si>
  <si>
    <t>MISC</t>
  </si>
  <si>
    <t>TOTAL</t>
  </si>
  <si>
    <t>4170A</t>
  </si>
  <si>
    <t>SHELL</t>
  </si>
  <si>
    <t>LS-1</t>
  </si>
  <si>
    <t>LS-2</t>
  </si>
  <si>
    <t>SH 1+SH 2 JONINIG</t>
  </si>
  <si>
    <t>CS-1</t>
  </si>
  <si>
    <t>SH 1+2+3 JOINING</t>
  </si>
  <si>
    <t>CS-2</t>
  </si>
  <si>
    <t>SH+ FLG JOINING</t>
  </si>
  <si>
    <t>CS-3</t>
  </si>
  <si>
    <t>LENGTH CORRECTION</t>
  </si>
  <si>
    <t>NOZ MARK</t>
  </si>
  <si>
    <t>SERVICE</t>
  </si>
  <si>
    <t>LOC</t>
  </si>
  <si>
    <t>SCH</t>
  </si>
  <si>
    <t>TYPE</t>
  </si>
  <si>
    <t>CLASS</t>
  </si>
  <si>
    <t>PROJ</t>
  </si>
  <si>
    <t>RFP-THK</t>
  </si>
  <si>
    <t>RFP-DIA</t>
  </si>
  <si>
    <t>SH</t>
  </si>
  <si>
    <t>300#</t>
  </si>
  <si>
    <t>WNRF</t>
  </si>
  <si>
    <t>1.5"</t>
  </si>
  <si>
    <t>N7</t>
  </si>
  <si>
    <t>2"</t>
  </si>
  <si>
    <t>N8</t>
  </si>
  <si>
    <t>N9</t>
  </si>
  <si>
    <t>N10</t>
  </si>
  <si>
    <t>SUM</t>
  </si>
  <si>
    <t>26"NB</t>
  </si>
  <si>
    <t>4 NO</t>
  </si>
  <si>
    <t>16"NB</t>
  </si>
  <si>
    <t>CS WELDING</t>
  </si>
  <si>
    <t>ID</t>
  </si>
  <si>
    <t>SH-1</t>
  </si>
  <si>
    <t>SH-2</t>
  </si>
  <si>
    <t>SH-3</t>
  </si>
  <si>
    <t>SH-4</t>
  </si>
  <si>
    <t>CHANNEL</t>
  </si>
  <si>
    <t>BARREL</t>
  </si>
  <si>
    <t>DISH</t>
  </si>
  <si>
    <t xml:space="preserve">BLANK </t>
  </si>
  <si>
    <t>D- MTR</t>
  </si>
  <si>
    <t>Base - top</t>
  </si>
  <si>
    <t>Width</t>
  </si>
  <si>
    <t>Length</t>
  </si>
  <si>
    <t>RMT-CUT</t>
  </si>
  <si>
    <t>Welding</t>
  </si>
  <si>
    <t>Base</t>
  </si>
  <si>
    <t>Web</t>
  </si>
  <si>
    <t>Rib</t>
  </si>
  <si>
    <t>No Saddle</t>
  </si>
  <si>
    <t>Base- Bot</t>
  </si>
  <si>
    <t xml:space="preserve">Side </t>
  </si>
  <si>
    <t>A2</t>
  </si>
  <si>
    <t>D</t>
  </si>
  <si>
    <t>B</t>
  </si>
  <si>
    <t>J1</t>
  </si>
  <si>
    <t>J2</t>
  </si>
  <si>
    <t>N</t>
  </si>
  <si>
    <t>H</t>
  </si>
  <si>
    <t>Status</t>
  </si>
  <si>
    <t>Done</t>
  </si>
  <si>
    <t>AB</t>
  </si>
  <si>
    <t>CD</t>
  </si>
  <si>
    <t>WIP</t>
  </si>
  <si>
    <t>1000 mm</t>
  </si>
  <si>
    <t>6"</t>
  </si>
  <si>
    <t>Shell Inlet</t>
  </si>
  <si>
    <t>N1</t>
  </si>
  <si>
    <t>N2</t>
  </si>
  <si>
    <t>Shell Outlet</t>
  </si>
  <si>
    <t>Channel Inlet</t>
  </si>
  <si>
    <t>Channel Outlet</t>
  </si>
  <si>
    <t>N3</t>
  </si>
  <si>
    <t>N4</t>
  </si>
  <si>
    <t>N5</t>
  </si>
  <si>
    <t>N6</t>
  </si>
  <si>
    <t>Shell Drain</t>
  </si>
  <si>
    <t>Shell Vent</t>
  </si>
  <si>
    <t>MP Connection</t>
  </si>
  <si>
    <t>Time</t>
  </si>
  <si>
    <t>Who</t>
  </si>
  <si>
    <t>Nanda</t>
  </si>
  <si>
    <t>SRK</t>
  </si>
  <si>
    <t>Not Started</t>
  </si>
  <si>
    <t>Date</t>
  </si>
  <si>
    <t>A1</t>
  </si>
  <si>
    <t>Name</t>
  </si>
  <si>
    <t>Full Name</t>
  </si>
  <si>
    <t>Tag</t>
  </si>
  <si>
    <t>Client Status</t>
  </si>
  <si>
    <t>C</t>
  </si>
  <si>
    <t>On Hold</t>
  </si>
  <si>
    <t>Oked</t>
  </si>
  <si>
    <t>E</t>
  </si>
  <si>
    <t>I</t>
  </si>
  <si>
    <t>K</t>
  </si>
  <si>
    <t>A</t>
  </si>
  <si>
    <t>J</t>
  </si>
  <si>
    <t>I1</t>
  </si>
  <si>
    <t>I2</t>
  </si>
  <si>
    <t>4220-133-EE</t>
  </si>
  <si>
    <t>Resources</t>
  </si>
  <si>
    <t>Predecessor</t>
  </si>
  <si>
    <t>Smry</t>
  </si>
  <si>
    <t>Yes</t>
  </si>
  <si>
    <t>TaskID</t>
  </si>
  <si>
    <t>Tag Name (133-EE-1006-A)</t>
  </si>
  <si>
    <t>Work Duration</t>
  </si>
  <si>
    <t>Total Duration</t>
  </si>
  <si>
    <t>Dimension</t>
  </si>
  <si>
    <t>Qty UOM</t>
  </si>
  <si>
    <t>WV UOM</t>
  </si>
  <si>
    <t>Work Volume (WV)</t>
  </si>
  <si>
    <t>BMT UOM</t>
  </si>
  <si>
    <t>Dur UOM</t>
  </si>
  <si>
    <t>Holes</t>
  </si>
  <si>
    <t>Hole</t>
  </si>
  <si>
    <t>Do Not Enter Anything here</t>
  </si>
  <si>
    <t>This is formula. Do not change this</t>
  </si>
  <si>
    <t>You need to enter data here</t>
  </si>
  <si>
    <t>Thickness</t>
  </si>
  <si>
    <t>Raw Material</t>
  </si>
  <si>
    <t>Shell Plate-Sa 516 Gr60</t>
  </si>
  <si>
    <t>Shell Girth Flange-Sa266 Gr4</t>
  </si>
  <si>
    <t>Channel Plate-Sa 516 Gr60</t>
  </si>
  <si>
    <t>Channel Girth Flange-Sa 266 Gr4</t>
  </si>
  <si>
    <t>Barrel Sheel Plate-Sa 516 Gr 60</t>
  </si>
  <si>
    <t>Barrel Girth Flange-Sa 266 Gr4</t>
  </si>
  <si>
    <t>Barrel Dish-Sa 516 Gr 60</t>
  </si>
  <si>
    <t>Tube Sheet-1-Sa 266 Gr4</t>
  </si>
  <si>
    <t>Tube Sheet -2-Sa 266 Gr4</t>
  </si>
  <si>
    <t>Floating Head Flg-Sa 266 Gr4</t>
  </si>
  <si>
    <t>Floating Head Dish-Sa 516 Gr60</t>
  </si>
  <si>
    <t>Backing Ring-Sa 266 Gr4</t>
  </si>
  <si>
    <t>Baffle Plate-Sa 516 Gr60</t>
  </si>
  <si>
    <t>Sealing Strip Plate-Sa 516 Gr60</t>
  </si>
  <si>
    <t>Sliding Strip Plate-Sa 516 Gr60</t>
  </si>
  <si>
    <t>Seal Rod-Sa 36</t>
  </si>
  <si>
    <t>Noz Srn-Sa 105</t>
  </si>
  <si>
    <t>Tube -Sa 179</t>
  </si>
  <si>
    <t>Spacer Tube-Sa 179</t>
  </si>
  <si>
    <t>Tie Rod-Sa 36</t>
  </si>
  <si>
    <t>Test Ring &amp; Test Flg-Sa 266 Gr4</t>
  </si>
  <si>
    <t>Ms Rod For Handle Etc</t>
  </si>
  <si>
    <t>Ms Plate For Saddle</t>
  </si>
  <si>
    <t>Dish Forming - 24T*1700 Od</t>
  </si>
  <si>
    <t>Bar Dish Blank Issuence</t>
  </si>
  <si>
    <t>Bar-Dish Blank Marking - 12 * 764 Od</t>
  </si>
  <si>
    <t>Bar-Dish Blank Marking Inspection</t>
  </si>
  <si>
    <t>Bar-Dish Blank Cutting</t>
  </si>
  <si>
    <t>Bar-Dish Forming</t>
  </si>
  <si>
    <t>Profile Insp</t>
  </si>
  <si>
    <t>Heat Treatment Preparation</t>
  </si>
  <si>
    <t>Stress Releiving- Sub Cont</t>
  </si>
  <si>
    <t>Removal Of Spiders</t>
  </si>
  <si>
    <t>Surface Preparation</t>
  </si>
  <si>
    <t>Inspection</t>
  </si>
  <si>
    <t>Tpi Inspection</t>
  </si>
  <si>
    <t>Sf Marking</t>
  </si>
  <si>
    <t>Sf Cutting</t>
  </si>
  <si>
    <t>Sf Gridning &amp; Ep</t>
  </si>
  <si>
    <t>Tube Sheet</t>
  </si>
  <si>
    <t>Tube Sheet Machining 1 Off 2</t>
  </si>
  <si>
    <t>Inward Inspection</t>
  </si>
  <si>
    <t>Tube Sheet M/C - 1/2</t>
  </si>
  <si>
    <t>Tube Sheet Drilling 1 Off 2</t>
  </si>
  <si>
    <t>Tube Sheet Drilling -1/2</t>
  </si>
  <si>
    <t>Exp Groove+Welding Groove -1/2</t>
  </si>
  <si>
    <t>Tie Rod, Pulling, Lifting Hole - 1/2</t>
  </si>
  <si>
    <t>Pass Partition Groove M/C -1/2</t>
  </si>
  <si>
    <t>Cleaning ,Go/No Go Check -1/2</t>
  </si>
  <si>
    <t>Final Inspection -1/2</t>
  </si>
  <si>
    <t>Tube Sheet Machining 2 Off 2</t>
  </si>
  <si>
    <t>Tube Sheet M/C - 2/2</t>
  </si>
  <si>
    <t>Tube Sheet Drilling 2 Off 2</t>
  </si>
  <si>
    <t>Tube Sheet Drilling -2/2</t>
  </si>
  <si>
    <t>Exp Groove+Welding Groove -2/2</t>
  </si>
  <si>
    <t>Tie Rod, Pulling, Lifting Hole - 2/2</t>
  </si>
  <si>
    <t>Pass Partition Groove M/C -2/2</t>
  </si>
  <si>
    <t>Cleaning ,Go/No Go Check -2/2</t>
  </si>
  <si>
    <t>Final Inspection -2/2</t>
  </si>
  <si>
    <t>Nozzle Fab</t>
  </si>
  <si>
    <t>Sh Noz Pipe Marking</t>
  </si>
  <si>
    <t>26"Nb Srn - 2 Nos</t>
  </si>
  <si>
    <t>2" Mp Con - 2 No</t>
  </si>
  <si>
    <t>Inspection Of Marking</t>
  </si>
  <si>
    <t>Sh Noz Pipe Cutting</t>
  </si>
  <si>
    <t>Sh Noz Pipe Ep</t>
  </si>
  <si>
    <t>Sh Noz+Flg Fiitup</t>
  </si>
  <si>
    <t>Sh Noz Pipe+Flg Welding</t>
  </si>
  <si>
    <t>Sh Noz Pipe Profile Marking</t>
  </si>
  <si>
    <t>Sh Nozzle Pipe Profile Cutting</t>
  </si>
  <si>
    <t>Sh Nozzle Pipe Pr0File Ep</t>
  </si>
  <si>
    <t>Ch Noz Pipe Marking</t>
  </si>
  <si>
    <t>16"Nb Srn - 2 Nos</t>
  </si>
  <si>
    <t>Ch Noz Pipe Cutting</t>
  </si>
  <si>
    <t>Ch Noz Pipe Ep</t>
  </si>
  <si>
    <t>Ch Noz+Flg Fit Up</t>
  </si>
  <si>
    <t>Ch Noz Pipe+Flg Welding</t>
  </si>
  <si>
    <t>Ch Noz Pipe Profile Marking</t>
  </si>
  <si>
    <t>Ch Nozzle Pipe Profile Cutting</t>
  </si>
  <si>
    <t>Ch Nozzle Pipe Pr0File Ep</t>
  </si>
  <si>
    <t>Saddle &amp; Other</t>
  </si>
  <si>
    <t>Top Saddle Fabrrication</t>
  </si>
  <si>
    <t>Plate Issuence</t>
  </si>
  <si>
    <t>Base Marking</t>
  </si>
  <si>
    <t>Web Pl Marking</t>
  </si>
  <si>
    <t>Ribs Marking</t>
  </si>
  <si>
    <t>Top Sadlle Plate Cutting</t>
  </si>
  <si>
    <t>Base Cutting</t>
  </si>
  <si>
    <t>Web Pl Cutting</t>
  </si>
  <si>
    <t>Ribs Cutting</t>
  </si>
  <si>
    <t>Grinnding Of Above</t>
  </si>
  <si>
    <t>Saddle Fit Up &amp; Welding</t>
  </si>
  <si>
    <t>Base + Web Fit Up</t>
  </si>
  <si>
    <t>Base + Web Welding</t>
  </si>
  <si>
    <t>Ribs+Web Fit Up</t>
  </si>
  <si>
    <t>Ribs+Web Welding</t>
  </si>
  <si>
    <t>Davit Pipe Fabrication</t>
  </si>
  <si>
    <t>Pipe Transfere</t>
  </si>
  <si>
    <t>Pipe Marking - 6 Nos</t>
  </si>
  <si>
    <t>Support Pl Marking</t>
  </si>
  <si>
    <t>Gusset Pl Marking</t>
  </si>
  <si>
    <t>Base Hub Marking</t>
  </si>
  <si>
    <t>Pipe Cutting - 6 Nos</t>
  </si>
  <si>
    <t>Support Pl Cutting</t>
  </si>
  <si>
    <t>Pipe Grinding - 6 Nos</t>
  </si>
  <si>
    <t>Support Pl Grinding-10 Nos</t>
  </si>
  <si>
    <t>Pivot Pl Grinding</t>
  </si>
  <si>
    <t>Pipe Fit Up-2 Nos</t>
  </si>
  <si>
    <t>Pipe Welding -2 Nos</t>
  </si>
  <si>
    <t>Pivot Pl Welding</t>
  </si>
  <si>
    <t>Support Pl Welding -4 Nos</t>
  </si>
  <si>
    <t>Lifting Lug Pad</t>
  </si>
  <si>
    <t>Lifting Lug Pad Marking</t>
  </si>
  <si>
    <t>Lifting Lug Pad Cutting</t>
  </si>
  <si>
    <t>Lifting Lugs Pad Grinding</t>
  </si>
  <si>
    <t>Lifting Lug Preparation</t>
  </si>
  <si>
    <t>Lifting Lugs Marking</t>
  </si>
  <si>
    <t>Lifting Lugs Cutting</t>
  </si>
  <si>
    <t>Lifting Lugs Grinding</t>
  </si>
  <si>
    <t>Lifting Lug Drilling</t>
  </si>
  <si>
    <t>Channel Cover Handle Prepataion</t>
  </si>
  <si>
    <t>Ch Cover Ring Forming</t>
  </si>
  <si>
    <t>Sliding Sling Forming</t>
  </si>
  <si>
    <t>Insulation Ring Prparation</t>
  </si>
  <si>
    <t>Insulaion Ring Marking</t>
  </si>
  <si>
    <t>Insulaion Ring Cutting</t>
  </si>
  <si>
    <t>Insulaion Ring Hole Marking</t>
  </si>
  <si>
    <t>Insulaion Ring Hole Drilling</t>
  </si>
  <si>
    <t>Baffle &amp; Tb Items Fab</t>
  </si>
  <si>
    <t>Baffle Preparation</t>
  </si>
  <si>
    <t>Baffle Plate Transfer</t>
  </si>
  <si>
    <t>Baffle Marking</t>
  </si>
  <si>
    <t>Baffle Profile Cutting</t>
  </si>
  <si>
    <t>Baffle Bend Removal &amp; Stacking</t>
  </si>
  <si>
    <t>Baffle Pl Bend Removal</t>
  </si>
  <si>
    <t>Baffle Pl Stacking</t>
  </si>
  <si>
    <t>Baffle Drilling</t>
  </si>
  <si>
    <t>Baffle De Stacking &amp; Chamfering</t>
  </si>
  <si>
    <t>Baffle De Stacing</t>
  </si>
  <si>
    <t>Baffle Chamfering</t>
  </si>
  <si>
    <t>Baffle Stacking &amp; Thro Hole Check</t>
  </si>
  <si>
    <t>Stacking</t>
  </si>
  <si>
    <t>Baffle Hole Alingment</t>
  </si>
  <si>
    <t>Baffle Hole Re Drill</t>
  </si>
  <si>
    <t>Baffle Od Machining</t>
  </si>
  <si>
    <t>Baffle Cleaning</t>
  </si>
  <si>
    <t>Support Plate Marking</t>
  </si>
  <si>
    <t>Support Plate Transfer</t>
  </si>
  <si>
    <t>Support Marking</t>
  </si>
  <si>
    <t>Support Profile Cutting</t>
  </si>
  <si>
    <t>Support Plate Bend Removal</t>
  </si>
  <si>
    <t>Support Pl Bend Removal</t>
  </si>
  <si>
    <t>Support Pl Stacking</t>
  </si>
  <si>
    <t>Support Plate Drlinng</t>
  </si>
  <si>
    <t>Support Drilling</t>
  </si>
  <si>
    <t>Sup Plate De Stacking &amp; Chamfering</t>
  </si>
  <si>
    <t>Support De Stacing</t>
  </si>
  <si>
    <t>Support Hole Chamfering</t>
  </si>
  <si>
    <t>Tie Rod Preparation</t>
  </si>
  <si>
    <t>Tie Rod Matl Transfere</t>
  </si>
  <si>
    <t>Rod Cutting</t>
  </si>
  <si>
    <t>Thread Machining.</t>
  </si>
  <si>
    <t>Joining</t>
  </si>
  <si>
    <t>Spacer Tube Preparation</t>
  </si>
  <si>
    <t>Spacer Tube Transfere</t>
  </si>
  <si>
    <t>Length Cutting 237Nos</t>
  </si>
  <si>
    <t>Lenngth Machining</t>
  </si>
  <si>
    <t>Cleaninng</t>
  </si>
  <si>
    <t>Sealing Strip Preparation</t>
  </si>
  <si>
    <t>Sealing Strip Marking</t>
  </si>
  <si>
    <t>Sealing Strip Cutting</t>
  </si>
  <si>
    <t>Sealing Strip Bend Removal</t>
  </si>
  <si>
    <t>Sealing Strip Grinding</t>
  </si>
  <si>
    <t>Sealing Strip Joining</t>
  </si>
  <si>
    <t>Sealing Strip Dress Up</t>
  </si>
  <si>
    <t>Sliding Strip Preparation</t>
  </si>
  <si>
    <t>Sliding Strip Marking</t>
  </si>
  <si>
    <t>Sliding Strip Cutting</t>
  </si>
  <si>
    <t>Sliding Strip Bend Removal</t>
  </si>
  <si>
    <t>Sliding Strip Grinding</t>
  </si>
  <si>
    <t>Sliding Strip Joining</t>
  </si>
  <si>
    <t>Sliding Strip Dress Up</t>
  </si>
  <si>
    <t>Seal Rod Preparation</t>
  </si>
  <si>
    <t>Seal Rod Issuenece</t>
  </si>
  <si>
    <t>Seal Rod Marking</t>
  </si>
  <si>
    <t>Seal Rod Cutting</t>
  </si>
  <si>
    <t>Seal Rod Bend Removal</t>
  </si>
  <si>
    <t>Shell Fabrication</t>
  </si>
  <si>
    <t>Shell Marking &amp; Cutting</t>
  </si>
  <si>
    <t>Sh Plate Trnasfer</t>
  </si>
  <si>
    <t>Sh-Marking</t>
  </si>
  <si>
    <t>Shell Plate Cutting</t>
  </si>
  <si>
    <t>Sh-Cutting</t>
  </si>
  <si>
    <t>Sh Pl Side Grinding</t>
  </si>
  <si>
    <t>Sh Pl Side Bevel Cutting</t>
  </si>
  <si>
    <t>Shell Plate Edge Preparation</t>
  </si>
  <si>
    <t>Sh-Bevel Grinding</t>
  </si>
  <si>
    <t>Shell Pre Bending</t>
  </si>
  <si>
    <t>Sh-Pre Bend</t>
  </si>
  <si>
    <t>Shell Pl Pre Bend Cut Off</t>
  </si>
  <si>
    <t>Sh-Pre Bend Cut Off</t>
  </si>
  <si>
    <t>Shell Plate Ls Ep</t>
  </si>
  <si>
    <t>Sh-Pre Bend Ls Ep</t>
  </si>
  <si>
    <t>Shell Rolling</t>
  </si>
  <si>
    <t>Sh-Rolling 1/4</t>
  </si>
  <si>
    <t>Sh-Rolling</t>
  </si>
  <si>
    <t>Shell Cir Length &amp; Ep Correction</t>
  </si>
  <si>
    <t>Sh-Ls Correction</t>
  </si>
  <si>
    <t>Shell Ls Seams Fit Up</t>
  </si>
  <si>
    <t>Sh-Ls Fit Up</t>
  </si>
  <si>
    <t>Sh Ls Welding Arrangement</t>
  </si>
  <si>
    <t>Sh-Ls Weld Arrangement</t>
  </si>
  <si>
    <t>Shell Long Seam Outer Welding</t>
  </si>
  <si>
    <t>Sh-Ls Welding- Top Side</t>
  </si>
  <si>
    <t>Sh Ls Back Chip</t>
  </si>
  <si>
    <t>Sh-Ls Welding- Back Chip</t>
  </si>
  <si>
    <t>Sh Ls Inner Welding</t>
  </si>
  <si>
    <t>Sh-Ls Inner Welding</t>
  </si>
  <si>
    <t>Sh Inner Ls Flush Grinding</t>
  </si>
  <si>
    <t>Sh Inner Flush Grinding</t>
  </si>
  <si>
    <t>Sh Ls Radiography</t>
  </si>
  <si>
    <t>Sh Ls Welding Rt</t>
  </si>
  <si>
    <t>Shell Re Rolling</t>
  </si>
  <si>
    <t>Sh Re Rolling</t>
  </si>
  <si>
    <t>Sh Plate Cs Ep Correction</t>
  </si>
  <si>
    <t>Sh Cir Ep Correction</t>
  </si>
  <si>
    <t>Sh Cir Seam First Fit Up</t>
  </si>
  <si>
    <t>Sh Cs Fit Up - [Ls1+Ls2]</t>
  </si>
  <si>
    <t>Sh Cs Tack Dp Check - [Ls1+Ls2]</t>
  </si>
  <si>
    <t>Sh Cir Seam First Welding</t>
  </si>
  <si>
    <t>Sh Cs Welding Transfere</t>
  </si>
  <si>
    <t>Sh Cs Welding Outer [Ls1+Ls2]</t>
  </si>
  <si>
    <t>Sh Cs Welding Back Chip [Ls1+Ls2]</t>
  </si>
  <si>
    <t>Sh Cs Inner Welding [Ls1+Ls2]</t>
  </si>
  <si>
    <t>Sh Cs Flush Grinding [Ls1+Ls2]</t>
  </si>
  <si>
    <t>Sh Cir Seam Second Fitup</t>
  </si>
  <si>
    <t>Sh Cs Fit Up - [Ls2+Ls3]</t>
  </si>
  <si>
    <t>Sh Cs Tack Dp Check - [Ls2+Ls3]</t>
  </si>
  <si>
    <t>Sh Cir Seam Second Welding</t>
  </si>
  <si>
    <t>Sh Cs Welding Transfere-[Ls2+Ls3]</t>
  </si>
  <si>
    <t>Sh Cs Welding Outer [Ls2+Ls3]</t>
  </si>
  <si>
    <t>Sh Cs Welding Back Chip [Ls2+Ls3]</t>
  </si>
  <si>
    <t>Sh Cs Inner Welding [Ls2+Ls3]</t>
  </si>
  <si>
    <t>Sh Cs Flush Grinding [Ls2+Ls3]</t>
  </si>
  <si>
    <t>Sh Cir Seam Iii Rd Fitup</t>
  </si>
  <si>
    <t>Sh Cs Fit Up Cs3</t>
  </si>
  <si>
    <t>Sh Cs Tack Dp Check Cs3</t>
  </si>
  <si>
    <t>Sh Cir Seam Third Welding</t>
  </si>
  <si>
    <t>Sh Cs Welding Transfere Cs3</t>
  </si>
  <si>
    <t>Sh Cs Welding Outer Cs3</t>
  </si>
  <si>
    <t>Sh Cs Welding Back Chip Cs3</t>
  </si>
  <si>
    <t>Sh Cs Inner Welding Cs3</t>
  </si>
  <si>
    <t>Sh Cs Flush Grinding Cs3</t>
  </si>
  <si>
    <t>Sh Final Length Correction</t>
  </si>
  <si>
    <t>Sh Length Marking</t>
  </si>
  <si>
    <t>Length Cutting</t>
  </si>
  <si>
    <t>Grinding &amp; Ep</t>
  </si>
  <si>
    <t>Sh Cir Seam Flange 1 Fitup</t>
  </si>
  <si>
    <t>Sh Cs Fit Up Flg Cs1</t>
  </si>
  <si>
    <t>Sh Cs Tack Dp Check Flg Cs1</t>
  </si>
  <si>
    <t>Sh Cir Seam Flange 1 Welding</t>
  </si>
  <si>
    <t>Sh Cs Welding Outer Flg Cs1</t>
  </si>
  <si>
    <t>Sh Cs Welding Back Chip Flg Cs1</t>
  </si>
  <si>
    <t>Sh Cs Inner Welding Flg Cs1</t>
  </si>
  <si>
    <t>Sh Cs Flush Grinding Flg Cs1</t>
  </si>
  <si>
    <t>Sh Cs Fit Up Flg2</t>
  </si>
  <si>
    <t>Sh Cs Fit Up Flg 2</t>
  </si>
  <si>
    <t>Sh Cs Tack Dp Check Flg2</t>
  </si>
  <si>
    <t>Sh Cs Welding Flg2</t>
  </si>
  <si>
    <t>Sh Cs Welding Transfere Flg2</t>
  </si>
  <si>
    <t>Sh Cs Welding Outer Flg2</t>
  </si>
  <si>
    <t>Sh Cs Welding Back Chip Flg2</t>
  </si>
  <si>
    <t>Sh Cs Inner Welding Flg2</t>
  </si>
  <si>
    <t>Sh Cs Flush Grinding Flg2</t>
  </si>
  <si>
    <t>Nozzle Orientation Marking</t>
  </si>
  <si>
    <t>Sh-Noz Orientaion Marking</t>
  </si>
  <si>
    <t>Sh-Noz Marking-N2A1</t>
  </si>
  <si>
    <t>Sh Nozzle Openning</t>
  </si>
  <si>
    <t>26"Nb Srn - 1</t>
  </si>
  <si>
    <t>Sh Nozzle Ep</t>
  </si>
  <si>
    <t>Sh Nozzzle Fit Up</t>
  </si>
  <si>
    <t>Dp Check</t>
  </si>
  <si>
    <t>Sh Nozzle Fit Up Inspection</t>
  </si>
  <si>
    <t>Sh Nozzle Welding</t>
  </si>
  <si>
    <t>Sh Noz Welding Arrangement</t>
  </si>
  <si>
    <t>Sh-Noz Welding -N1A</t>
  </si>
  <si>
    <t>Sh-Noz Welding-N2A1</t>
  </si>
  <si>
    <t>Sh-Noz Welding-N2A2</t>
  </si>
  <si>
    <t>Sh Noz Root Dp Check</t>
  </si>
  <si>
    <t>Sh-Noz Inner Weld -N1A</t>
  </si>
  <si>
    <t>Sh-Noz Inner Weld-N2A1</t>
  </si>
  <si>
    <t>Sh-Noz Inner Weld-N2A2</t>
  </si>
  <si>
    <t>Sh Saddle Welding</t>
  </si>
  <si>
    <t>Sh-Saddle Pad Fit Up</t>
  </si>
  <si>
    <t>Sh-Saddle Pad Welding</t>
  </si>
  <si>
    <t>Sh-Saddle Matching</t>
  </si>
  <si>
    <t>Sh-Saddle Fit Up</t>
  </si>
  <si>
    <t>Sh-Saddle Welding</t>
  </si>
  <si>
    <t>Sh-Saddle Dress Up</t>
  </si>
  <si>
    <t>Sh Davit Arm Welding</t>
  </si>
  <si>
    <t>Sh-Davit Arm Arm Match</t>
  </si>
  <si>
    <t>Sh-Davit Arm Fit Up</t>
  </si>
  <si>
    <t>Sh-Davit Arm Welding</t>
  </si>
  <si>
    <t>Sh Nde Clearence</t>
  </si>
  <si>
    <t>Sh-Sh Nde Clearence</t>
  </si>
  <si>
    <t>Channel Fabrication</t>
  </si>
  <si>
    <t>Channel Shell Ls Welding</t>
  </si>
  <si>
    <t>Ch Plate Trnasfer</t>
  </si>
  <si>
    <t>Ch-Marking</t>
  </si>
  <si>
    <t>Ch-Cutting</t>
  </si>
  <si>
    <t>Ch Pl Side Grinding</t>
  </si>
  <si>
    <t>Ch-Bevelling Cir Side</t>
  </si>
  <si>
    <t>Ch Ep Grinding</t>
  </si>
  <si>
    <t>Channel Sh Rolling</t>
  </si>
  <si>
    <t>Ch-Pre Bend</t>
  </si>
  <si>
    <t>Ch-Pre Bend Cut Off</t>
  </si>
  <si>
    <t>Ch Ls Beveling</t>
  </si>
  <si>
    <t>Ch-Rolling</t>
  </si>
  <si>
    <t>Ch Shell Ls Fit Up</t>
  </si>
  <si>
    <t>Ch-Ls Correction</t>
  </si>
  <si>
    <t>Ch-Ls Fit Up</t>
  </si>
  <si>
    <t>Ch Shell Ls Welding</t>
  </si>
  <si>
    <t>Ch-Ls Weld Arrangement</t>
  </si>
  <si>
    <t>Ch-Ls Welding- Top Side</t>
  </si>
  <si>
    <t>Ch-Ls Welding- Back Chip</t>
  </si>
  <si>
    <t>Ch-Ls Inner Welding</t>
  </si>
  <si>
    <t>Ch-Ls Innner Flush Grind</t>
  </si>
  <si>
    <t>Ch Re Rolling</t>
  </si>
  <si>
    <t>Ch Ls Welding Radiography</t>
  </si>
  <si>
    <t>Ch Ls Welding Rt</t>
  </si>
  <si>
    <t>Ch Cs Flg 1 Fit Up</t>
  </si>
  <si>
    <t>Ch Cir Ep Correction</t>
  </si>
  <si>
    <t>Ch Cs Fit Up Flg1</t>
  </si>
  <si>
    <t>Ch Cs Tack Dp Check Flg1</t>
  </si>
  <si>
    <t>Ch Cs Flg 1 Welding</t>
  </si>
  <si>
    <t>Ch Cs Welding Transfere</t>
  </si>
  <si>
    <t>Ch Cs Welding Outer Flg1</t>
  </si>
  <si>
    <t>Ch Cs Welding Back Chip Flg1</t>
  </si>
  <si>
    <t>Ch Cs Inner Welding Flg 1</t>
  </si>
  <si>
    <t>Ch Cs Flush Grinding Flg1</t>
  </si>
  <si>
    <t>Ch Cs Flg 2 Fit Up</t>
  </si>
  <si>
    <t>Ch Length Cutting</t>
  </si>
  <si>
    <t>Ch Cs Fit Up Flg2</t>
  </si>
  <si>
    <t>Ch Cs Flg 2 Welding</t>
  </si>
  <si>
    <t>Ch Cs Welding Transfere Flg2</t>
  </si>
  <si>
    <t>Ch Cs Welding Outer Flg2</t>
  </si>
  <si>
    <t>Ch Cs Welding Back Chip Flg2</t>
  </si>
  <si>
    <t>Ch Cs Inner Welding Flg2</t>
  </si>
  <si>
    <t>Ch Cs Flush Grinding Flg2</t>
  </si>
  <si>
    <t>Ch Cs Flg 1 &amp; 2 Welding Rt</t>
  </si>
  <si>
    <t>Ch Cs Welding Rt</t>
  </si>
  <si>
    <t>Channel Noz Marking</t>
  </si>
  <si>
    <t>Ch- Noz Ireientation Nkg</t>
  </si>
  <si>
    <t>Ch-Noz Marking- 16"Nb - 2 Nos</t>
  </si>
  <si>
    <t>Ch Noz Opnning</t>
  </si>
  <si>
    <t>Ch-Noz Openning-Top</t>
  </si>
  <si>
    <t>Ch-Noz Openning-Bot</t>
  </si>
  <si>
    <t>Ch Noz Open Ep</t>
  </si>
  <si>
    <t>Ch-Noz Ep -N3A</t>
  </si>
  <si>
    <t>Ch-Noz Ep-N4A</t>
  </si>
  <si>
    <t>Ch Noz Fit Up</t>
  </si>
  <si>
    <t>Ch-Noz Fit Up -N3A</t>
  </si>
  <si>
    <t>Ch-Noz Fit Up -N4A</t>
  </si>
  <si>
    <t>Ch Noz Fit Up Insp</t>
  </si>
  <si>
    <t>Ch-Noz Inspn -N3A</t>
  </si>
  <si>
    <t>Ch-Noz Inspn-N4A</t>
  </si>
  <si>
    <t>Ch Noz Welding</t>
  </si>
  <si>
    <t>Ch Noz Welding Arrangement</t>
  </si>
  <si>
    <t>Ch-Noz Welding -N3A</t>
  </si>
  <si>
    <t>Ch-Noz Welding-N4A</t>
  </si>
  <si>
    <t>Ch Noz Root Dp Check</t>
  </si>
  <si>
    <t>Ch-Noz Inner Weld -N3A</t>
  </si>
  <si>
    <t>Ch-Noz Inner Weld-N4A</t>
  </si>
  <si>
    <t>Rf Pad Fit Up &amp; Nozzle Fit Up</t>
  </si>
  <si>
    <t>Rf Pad Fit Up Welding</t>
  </si>
  <si>
    <t>Noz Welding Flush Grind- 16"Nb</t>
  </si>
  <si>
    <t>Channel Pp Plate Fit Up</t>
  </si>
  <si>
    <t>Ch- Pp Plate Fit Up</t>
  </si>
  <si>
    <t>Ch- Pp Plate Fit Up Insp</t>
  </si>
  <si>
    <t>Ch Pp Plate Welding</t>
  </si>
  <si>
    <t>Ch- Pp Plate Welding</t>
  </si>
  <si>
    <t>Ch- Pp Plate Face Grinding</t>
  </si>
  <si>
    <t>Channel Davit Arm Welding</t>
  </si>
  <si>
    <t>Ch-Davit Arm Arm Match</t>
  </si>
  <si>
    <t>Ch-Davit Arm Fit Up</t>
  </si>
  <si>
    <t>Ch-Davit Arm Welding</t>
  </si>
  <si>
    <t>Channel Nde &amp; Pwht</t>
  </si>
  <si>
    <t>Ch All Welding Dressup &amp; Dp Check</t>
  </si>
  <si>
    <t>Ch-Ch Nde Clearence</t>
  </si>
  <si>
    <t>Barrel Fabrication</t>
  </si>
  <si>
    <t>Barrel Sh Plate Cutting &amp; Ep</t>
  </si>
  <si>
    <t>Barrel Plate Trnasfer</t>
  </si>
  <si>
    <t>Barrel-Marking</t>
  </si>
  <si>
    <t>Barrel-Cutting</t>
  </si>
  <si>
    <t>Barrel Pl Side Grinding</t>
  </si>
  <si>
    <t>Barrel-Bevelling Cir Side</t>
  </si>
  <si>
    <t>Bar Shell Rolling</t>
  </si>
  <si>
    <t>Barrel-Pre Bend</t>
  </si>
  <si>
    <t>Barrel-Pre Bend Cut Off</t>
  </si>
  <si>
    <t>Barrel -Pre Ls Ep</t>
  </si>
  <si>
    <t>Barrel-Rolling</t>
  </si>
  <si>
    <t>Barrel Shell Ls Fit Up</t>
  </si>
  <si>
    <t>Barrel-Ls Correction</t>
  </si>
  <si>
    <t>Barrel-Ls Fit Up</t>
  </si>
  <si>
    <t>Barrel Shell Ls Welding</t>
  </si>
  <si>
    <t>Barrel-Ls Weld Arrangement</t>
  </si>
  <si>
    <t>Barrel-Ls Welding- Top Side</t>
  </si>
  <si>
    <t>Barrel-Ls Welding- Back Chip</t>
  </si>
  <si>
    <t>Barrel-Ls Inner Welding</t>
  </si>
  <si>
    <t>Barrel-Ls Innner Flush Grind</t>
  </si>
  <si>
    <t>Barrel Re Rolling</t>
  </si>
  <si>
    <t>Barrel Ls Welding Rt</t>
  </si>
  <si>
    <t>Bar Ls Welding Rt</t>
  </si>
  <si>
    <t>Barrel Shell Cs Flg 1 Fit Up</t>
  </si>
  <si>
    <t>Barrel Cir Ep Correction</t>
  </si>
  <si>
    <t>Barrel Cs Fit Up Flg1</t>
  </si>
  <si>
    <t>Barrel Cs Tack Dp Check Flg1</t>
  </si>
  <si>
    <t>Barrel Sh Cs Flg 1 Welding</t>
  </si>
  <si>
    <t>Barrel Cs Welding Transfere</t>
  </si>
  <si>
    <t>Barrel Cs Welding Outer Flg1</t>
  </si>
  <si>
    <t>Barrel Cs Welding Back Chip Flg1</t>
  </si>
  <si>
    <t>Barrel Cs Inner Welding Flg 1</t>
  </si>
  <si>
    <t>Barrel Cs Flush Grinding Flg1</t>
  </si>
  <si>
    <t>Barrel Cs Fit Up With Dish</t>
  </si>
  <si>
    <t>Barrel Length Cutting</t>
  </si>
  <si>
    <t>Barrel Ep</t>
  </si>
  <si>
    <t>Barrel Cs Fit Up Dish</t>
  </si>
  <si>
    <t>Barrel Cs Tack Dp Check Dish</t>
  </si>
  <si>
    <t>Barrel Cs Welding With Dish</t>
  </si>
  <si>
    <t>Barrel Cs Welding Transfere Dish</t>
  </si>
  <si>
    <t>Barrel Cs Welding Outer Dish</t>
  </si>
  <si>
    <t>Barrel Cs Welding Back Chip Dish</t>
  </si>
  <si>
    <t>Barrel Cs Inner Welding Dish</t>
  </si>
  <si>
    <t>Barrel Cs Flush Grinding Dish</t>
  </si>
  <si>
    <t>Barrel Cs Flg 1 &amp; Dish Welding Rt</t>
  </si>
  <si>
    <t>Barrel Cs Welding Rt</t>
  </si>
  <si>
    <t>Barrel Noz Oreination Marking</t>
  </si>
  <si>
    <t>Barrel- Noz Ireientation Nkg</t>
  </si>
  <si>
    <t>Barrel-Noz Marking- 2</t>
  </si>
  <si>
    <t>Barrel Nozzle Oppening</t>
  </si>
  <si>
    <t>Barrel-Noz Openning-40 Nb - Lwn</t>
  </si>
  <si>
    <t>Barrel Noz Edge Preparation</t>
  </si>
  <si>
    <t>Barrel Nozzzle Fit Up</t>
  </si>
  <si>
    <t>Barrel-Noz Fit Up -N5A</t>
  </si>
  <si>
    <t>Barrel-Noz Fit Up -N6A</t>
  </si>
  <si>
    <t>Barrel Noz Fit Up Inspection</t>
  </si>
  <si>
    <t>Barrel-Noz Inspn -5A</t>
  </si>
  <si>
    <t>Barrel-Noz Inspn-6A</t>
  </si>
  <si>
    <t>Barrel Nozzle Welding</t>
  </si>
  <si>
    <t>Barrel Noz Welding Arrangement</t>
  </si>
  <si>
    <t>Barrel-Noz Welding -N5A</t>
  </si>
  <si>
    <t>Barrel-Noz Welding-N6A</t>
  </si>
  <si>
    <t>Barrel Noz Root Dp</t>
  </si>
  <si>
    <t>Barrel-Noz Inner Welding -N5A</t>
  </si>
  <si>
    <t>Barrel-Noz Inner Welding-N6A</t>
  </si>
  <si>
    <t>Barrel Noz Inner Weld Flush Grind</t>
  </si>
  <si>
    <t>Barrel All Welding Dressup &amp; Dp</t>
  </si>
  <si>
    <t>Barrel-Barrel Nde Clearence</t>
  </si>
  <si>
    <t>Fl Head Fabrication</t>
  </si>
  <si>
    <t>Flaoting Head Dish Forming</t>
  </si>
  <si>
    <t>Fl Head Dish Pl Issue</t>
  </si>
  <si>
    <t>Fl Head Pl Marking</t>
  </si>
  <si>
    <t>Fl Head Pl Stamping</t>
  </si>
  <si>
    <t>Fl Head Pl Cutting</t>
  </si>
  <si>
    <t>Fl Head Pl Grinding</t>
  </si>
  <si>
    <t>Fl Head Formig</t>
  </si>
  <si>
    <t>Fl Head Forming</t>
  </si>
  <si>
    <t>Fl Head Profile Check</t>
  </si>
  <si>
    <t>Fl Head Cutting</t>
  </si>
  <si>
    <t>Fl Head Marking</t>
  </si>
  <si>
    <t>Fl Head Ep</t>
  </si>
  <si>
    <t>Fl Head Grinding</t>
  </si>
  <si>
    <t>Fl Head Fit Up</t>
  </si>
  <si>
    <t>Fl Head Welding</t>
  </si>
  <si>
    <t>Fl Head Pp Plate Fit Up</t>
  </si>
  <si>
    <t>Fl Head Pp Pl Welding</t>
  </si>
  <si>
    <t>Fl Head Pp Pl Level Grinding</t>
  </si>
  <si>
    <t>Fl Head Inspection</t>
  </si>
  <si>
    <t>Fl Head Sr &amp; Machining</t>
  </si>
  <si>
    <t>Fl Head Sr</t>
  </si>
  <si>
    <t>Fl Head Final Machining</t>
  </si>
  <si>
    <t>Fl Head Hole Marking</t>
  </si>
  <si>
    <t>Fl Head Hole Drilling</t>
  </si>
  <si>
    <t>Fl Head Final Inspection</t>
  </si>
  <si>
    <t>Tube Bundle Fabrication</t>
  </si>
  <si>
    <t>Tube Bundle Assy</t>
  </si>
  <si>
    <t>Frame Set Up &amp; Tube Sht Set Up</t>
  </si>
  <si>
    <t>Skeliton Assy- 19 Baffle</t>
  </si>
  <si>
    <t>Tube Insert</t>
  </si>
  <si>
    <t>Seal Rod Insert &amp; Weld</t>
  </si>
  <si>
    <t>Sliding Strip Fit Up Welding</t>
  </si>
  <si>
    <t>Sealing Strip Fit Up</t>
  </si>
  <si>
    <t>Sliding Strip Welding</t>
  </si>
  <si>
    <t>Seal/Slid Trip Weld Grind</t>
  </si>
  <si>
    <t>Tube Bundle Insert</t>
  </si>
  <si>
    <t>Tube Bundle Insert In Shell</t>
  </si>
  <si>
    <t>Fl Head Tube Sht Fixing</t>
  </si>
  <si>
    <t>Test Flg &amp; Gland Assy</t>
  </si>
  <si>
    <t>Tube Expansion In Grooves</t>
  </si>
  <si>
    <t>Tube Exp - St Side - 1 Stage</t>
  </si>
  <si>
    <t>Tube Exp - Fl Side - 1 Stage</t>
  </si>
  <si>
    <t>Tube Trimming Fl Side</t>
  </si>
  <si>
    <t>Tube Exp Both Side - 4 Stage</t>
  </si>
  <si>
    <t>Tube Exp- Pnuematic Test</t>
  </si>
  <si>
    <t>Tube Exp Pnuematic Test</t>
  </si>
  <si>
    <t>Pnuematic Test Tpi Witness</t>
  </si>
  <si>
    <t>Cleaning</t>
  </si>
  <si>
    <t>Tube Tube Sheet Welding- Ft Side</t>
  </si>
  <si>
    <t>Tube Welding - St Side Root</t>
  </si>
  <si>
    <t>Tube Welding - St Side Root Dp</t>
  </si>
  <si>
    <t>Tube Welding - St Side Final Weld</t>
  </si>
  <si>
    <t>Tube Welding - St Side Final Dp</t>
  </si>
  <si>
    <t>Tube To Tube Sheet Welding - Fl Head Side</t>
  </si>
  <si>
    <t>Tube Welding - Flh Side Root</t>
  </si>
  <si>
    <t>Tube Welding - Flh Side Root Dp</t>
  </si>
  <si>
    <t>Tube Welding - Flh Side Final Weld</t>
  </si>
  <si>
    <t>Tube Welding - Flh Side Final Dp</t>
  </si>
  <si>
    <t>Shell Side Hydro</t>
  </si>
  <si>
    <t>Shell Side Water Filling</t>
  </si>
  <si>
    <t>Shell Side Tpi Witness</t>
  </si>
  <si>
    <t>De Watering &amp; Dismantle Of Gland</t>
  </si>
  <si>
    <t>Bar-Dish Blank Marking - 24 * 1670</t>
  </si>
  <si>
    <t>Inter Connection Nozzle Welding</t>
  </si>
  <si>
    <t>Bot Sh , Ch And Top Sh ,Ch Stacking</t>
  </si>
  <si>
    <t>Inter Con Noz Fit Up - On Sh</t>
  </si>
  <si>
    <t>Inter Con Noz Fit Up- On Ch</t>
  </si>
  <si>
    <t>Inter Con Noz Welding - On Sh</t>
  </si>
  <si>
    <t>Inter Con Noz Welding- On Ch</t>
  </si>
  <si>
    <t>Dismantling</t>
  </si>
  <si>
    <t>Inter Con Noz Flush Grind &amp; Dp-On Sh</t>
  </si>
  <si>
    <t>Inter Con Noz Flush Grind &amp; Dp-On Ch</t>
  </si>
  <si>
    <t>In Con Noz Rt</t>
  </si>
  <si>
    <t>Channel Side Hydro - Stacked</t>
  </si>
  <si>
    <t>He 1 &amp; 2 Stacking</t>
  </si>
  <si>
    <t>Ch &amp; Int Con Noz Tight</t>
  </si>
  <si>
    <t>Water Fill</t>
  </si>
  <si>
    <t>Ch Side Hydro</t>
  </si>
  <si>
    <t>Ch Side Hydro Tpi Witness</t>
  </si>
  <si>
    <t>De Watering</t>
  </si>
  <si>
    <t>Shell Side Hydro - Stacked</t>
  </si>
  <si>
    <t>Barrel Assy</t>
  </si>
  <si>
    <t>Shell Side Hydro- Stacked Tpi Witness</t>
  </si>
  <si>
    <t>Nitorgen Purging</t>
  </si>
  <si>
    <t>N2 Gas Purging</t>
  </si>
  <si>
    <t>Painting</t>
  </si>
  <si>
    <t>Primer Painting</t>
  </si>
  <si>
    <t>Intermediate Painting</t>
  </si>
  <si>
    <t>Top Coat Painting</t>
  </si>
  <si>
    <t>Dim</t>
  </si>
  <si>
    <t>UoM</t>
  </si>
  <si>
    <t>mm</t>
  </si>
  <si>
    <t>od</t>
  </si>
  <si>
    <t>mm id</t>
  </si>
  <si>
    <t>mm od</t>
  </si>
  <si>
    <t>lg</t>
  </si>
  <si>
    <t>id</t>
  </si>
  <si>
    <t>tube</t>
  </si>
  <si>
    <t>baffle</t>
  </si>
  <si>
    <t>mm lg</t>
  </si>
  <si>
    <t>joints</t>
  </si>
  <si>
    <t>Roll</t>
  </si>
  <si>
    <t>budle</t>
  </si>
  <si>
    <t>mm lip od</t>
  </si>
  <si>
    <t>mm dia</t>
  </si>
  <si>
    <t>roll</t>
  </si>
  <si>
    <t>nb</t>
  </si>
  <si>
    <t>dia</t>
  </si>
  <si>
    <t xml:space="preserve"> </t>
  </si>
  <si>
    <t>Servo</t>
  </si>
  <si>
    <t>Duration</t>
  </si>
  <si>
    <t>Work Volume</t>
  </si>
  <si>
    <t>Work Duration for Plateness</t>
  </si>
  <si>
    <t>Work Duration for Pipe</t>
  </si>
  <si>
    <t>Work Duration for Assembly</t>
  </si>
  <si>
    <t>Work Duration for Shell &amp; Dish Marking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</si>
</sst>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36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Verdana"/>
      <charset val="134"/>
    </font>
    <font>
      <b/>
      <sz val="11"/>
      <color theme="0"/>
      <name val="Verdana"/>
      <charset val="134"/>
    </font>
    <font>
      <sz val="8"/>
      <color theme="1"/>
      <name val="Verdana"/>
      <charset val="134"/>
    </font>
    <font>
      <b/>
      <sz val="8"/>
      <color theme="1"/>
      <name val="Verdana"/>
      <charset val="134"/>
    </font>
    <font>
      <sz val="8"/>
      <name val="Verdana"/>
      <charset val="134"/>
    </font>
    <font>
      <sz val="12"/>
      <color theme="1"/>
      <name val="Aharoni"/>
      <charset val="177"/>
    </font>
    <font>
      <sz val="12"/>
      <color theme="1"/>
      <name val="Calibri"/>
      <charset val="134"/>
      <scheme val="minor"/>
    </font>
    <font>
      <sz val="9"/>
      <color theme="1"/>
      <name val="Verdana"/>
      <charset val="134"/>
    </font>
    <font>
      <b/>
      <sz val="9"/>
      <name val="Verdana"/>
      <charset val="134"/>
    </font>
    <font>
      <sz val="9"/>
      <color rgb="FFFF0000"/>
      <name val="Verdana"/>
      <charset val="134"/>
    </font>
    <font>
      <b/>
      <sz val="9"/>
      <color theme="1"/>
      <name val="Verdana"/>
      <charset val="134"/>
    </font>
    <font>
      <sz val="9"/>
      <color theme="1"/>
      <name val="Verdana"/>
      <charset val="134"/>
    </font>
    <font>
      <b/>
      <sz val="9"/>
      <color rgb="FFFF0000"/>
      <name val="Verdana"/>
      <charset val="134"/>
    </font>
    <font>
      <b/>
      <sz val="9"/>
      <color rgb="FFFF0000"/>
      <name val="Verdana"/>
      <charset val="134"/>
    </font>
    <font>
      <sz val="9"/>
      <name val="Verdana"/>
      <charset val="134"/>
    </font>
    <font>
      <b/>
      <sz val="9"/>
      <color theme="1"/>
      <name val="Verdana"/>
      <charset val="134"/>
    </font>
    <font>
      <sz val="8"/>
      <color theme="1"/>
      <name val="Verdana"/>
      <charset val="134"/>
    </font>
    <font>
      <b/>
      <sz val="8"/>
      <name val="Verdana"/>
      <charset val="134"/>
    </font>
    <font>
      <sz val="8"/>
      <color rgb="FFFF0000"/>
      <name val="Verdana"/>
      <charset val="134"/>
    </font>
    <font>
      <sz val="8"/>
      <color theme="1"/>
      <name val="Calibri"/>
      <charset val="134"/>
      <scheme val="minor"/>
    </font>
    <font>
      <b/>
      <sz val="8"/>
      <color theme="1"/>
      <name val="Verdana"/>
      <charset val="134"/>
    </font>
    <font>
      <sz val="8"/>
      <name val="Verdana"/>
      <charset val="134"/>
    </font>
    <font>
      <b/>
      <sz val="8"/>
      <color rgb="FFFF0000"/>
      <name val="Verdana"/>
      <charset val="134"/>
    </font>
    <font>
      <sz val="10"/>
      <color theme="1"/>
      <name val="Verdana"/>
      <charset val="134"/>
    </font>
    <font>
      <sz val="8"/>
      <color theme="1"/>
      <name val="Verdana"/>
      <family val="2"/>
    </font>
    <font>
      <sz val="8"/>
      <name val="Verdana"/>
      <family val="2"/>
    </font>
    <font>
      <u/>
      <sz val="11"/>
      <color theme="10"/>
      <name val="Calibri"/>
      <family val="2"/>
      <scheme val="minor"/>
    </font>
    <font>
      <sz val="8"/>
      <color rgb="FFFF0000"/>
      <name val="Verdana"/>
      <family val="2"/>
    </font>
    <font>
      <u/>
      <sz val="9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7030A0"/>
      <name val="Aharoni"/>
      <charset val="177"/>
    </font>
    <font>
      <sz val="10"/>
      <color theme="1"/>
      <name val="Aharoni"/>
      <charset val="177"/>
    </font>
    <font>
      <b/>
      <sz val="16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</borders>
  <cellStyleXfs count="3">
    <xf numFmtId="0" fontId="0" fillId="0" borderId="0"/>
    <xf numFmtId="0" fontId="26" fillId="0" borderId="0"/>
    <xf numFmtId="0" fontId="29" fillId="0" borderId="0" applyNumberFormat="0" applyFill="0" applyBorder="0" applyAlignment="0" applyProtection="0"/>
  </cellStyleXfs>
  <cellXfs count="385">
    <xf numFmtId="0" fontId="0" fillId="0" borderId="0" xfId="0"/>
    <xf numFmtId="0" fontId="0" fillId="0" borderId="1" xfId="0" applyBorder="1"/>
    <xf numFmtId="0" fontId="0" fillId="3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2" fillId="3" borderId="1" xfId="0" applyFont="1" applyFill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1" fillId="3" borderId="1" xfId="0" applyFont="1" applyFill="1" applyBorder="1" applyAlignment="1">
      <alignment wrapText="1"/>
    </xf>
    <xf numFmtId="20" fontId="1" fillId="3" borderId="1" xfId="0" applyNumberFormat="1" applyFont="1" applyFill="1" applyBorder="1"/>
    <xf numFmtId="0" fontId="1" fillId="3" borderId="0" xfId="0" applyFont="1" applyFill="1" applyAlignment="1">
      <alignment wrapText="1"/>
    </xf>
    <xf numFmtId="0" fontId="0" fillId="3" borderId="1" xfId="0" applyFill="1" applyBorder="1"/>
    <xf numFmtId="164" fontId="0" fillId="3" borderId="1" xfId="0" applyNumberFormat="1" applyFill="1" applyBorder="1" applyAlignment="1">
      <alignment wrapText="1"/>
    </xf>
    <xf numFmtId="164" fontId="0" fillId="3" borderId="1" xfId="0" applyNumberFormat="1" applyFill="1" applyBorder="1" applyAlignment="1">
      <alignment horizontal="center" wrapText="1"/>
    </xf>
    <xf numFmtId="0" fontId="0" fillId="3" borderId="0" xfId="0" applyFill="1" applyBorder="1"/>
    <xf numFmtId="0" fontId="1" fillId="3" borderId="0" xfId="0" applyFont="1" applyFill="1" applyBorder="1"/>
    <xf numFmtId="164" fontId="0" fillId="3" borderId="0" xfId="0" applyNumberFormat="1" applyFill="1" applyBorder="1" applyAlignment="1">
      <alignment wrapText="1"/>
    </xf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Border="1" applyAlignment="1">
      <alignment textRotation="90"/>
    </xf>
    <xf numFmtId="0" fontId="3" fillId="0" borderId="0" xfId="0" applyFont="1" applyBorder="1"/>
    <xf numFmtId="0" fontId="4" fillId="4" borderId="6" xfId="0" applyFont="1" applyFill="1" applyBorder="1" applyAlignment="1">
      <alignment horizontal="center" textRotation="90"/>
    </xf>
    <xf numFmtId="0" fontId="3" fillId="0" borderId="1" xfId="0" applyFont="1" applyBorder="1"/>
    <xf numFmtId="0" fontId="4" fillId="4" borderId="1" xfId="0" applyFont="1" applyFill="1" applyBorder="1" applyAlignment="1">
      <alignment textRotation="90"/>
    </xf>
    <xf numFmtId="164" fontId="3" fillId="0" borderId="1" xfId="0" applyNumberFormat="1" applyFont="1" applyBorder="1"/>
    <xf numFmtId="164" fontId="3" fillId="0" borderId="0" xfId="0" applyNumberFormat="1" applyFont="1" applyBorder="1"/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 indent="1"/>
    </xf>
    <xf numFmtId="0" fontId="6" fillId="0" borderId="0" xfId="0" applyFont="1" applyBorder="1" applyAlignment="1">
      <alignment horizontal="left" indent="1"/>
    </xf>
    <xf numFmtId="0" fontId="7" fillId="5" borderId="1" xfId="0" applyFont="1" applyFill="1" applyBorder="1" applyAlignment="1">
      <alignment horizontal="left" wrapText="1" indent="1"/>
    </xf>
    <xf numFmtId="0" fontId="7" fillId="5" borderId="1" xfId="0" applyFont="1" applyFill="1" applyBorder="1" applyAlignment="1">
      <alignment horizontal="left" wrapText="1"/>
    </xf>
    <xf numFmtId="0" fontId="7" fillId="5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left" indent="1"/>
    </xf>
    <xf numFmtId="0" fontId="6" fillId="0" borderId="1" xfId="0" applyFont="1" applyBorder="1" applyAlignment="1">
      <alignment horizontal="left" indent="1"/>
    </xf>
    <xf numFmtId="0" fontId="5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5" fillId="6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2" fontId="5" fillId="6" borderId="0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left" indent="1"/>
    </xf>
    <xf numFmtId="164" fontId="5" fillId="7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left" indent="1"/>
    </xf>
    <xf numFmtId="2" fontId="5" fillId="7" borderId="1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left" indent="1"/>
    </xf>
    <xf numFmtId="2" fontId="5" fillId="0" borderId="0" xfId="0" applyNumberFormat="1" applyFont="1" applyBorder="1" applyAlignment="1">
      <alignment horizontal="left" indent="1"/>
    </xf>
    <xf numFmtId="166" fontId="5" fillId="0" borderId="1" xfId="0" applyNumberFormat="1" applyFont="1" applyBorder="1" applyAlignment="1">
      <alignment horizontal="left" indent="1"/>
    </xf>
    <xf numFmtId="0" fontId="5" fillId="8" borderId="1" xfId="0" applyFont="1" applyFill="1" applyBorder="1" applyAlignment="1">
      <alignment horizontal="left" indent="1"/>
    </xf>
    <xf numFmtId="164" fontId="5" fillId="8" borderId="1" xfId="0" applyNumberFormat="1" applyFont="1" applyFill="1" applyBorder="1" applyAlignment="1">
      <alignment horizontal="center"/>
    </xf>
    <xf numFmtId="165" fontId="5" fillId="0" borderId="1" xfId="0" applyNumberFormat="1" applyFont="1" applyBorder="1" applyAlignment="1">
      <alignment horizontal="left" indent="1"/>
    </xf>
    <xf numFmtId="2" fontId="5" fillId="8" borderId="1" xfId="0" applyNumberFormat="1" applyFont="1" applyFill="1" applyBorder="1" applyAlignment="1">
      <alignment horizontal="center"/>
    </xf>
    <xf numFmtId="2" fontId="5" fillId="8" borderId="0" xfId="0" applyNumberFormat="1" applyFont="1" applyFill="1" applyBorder="1" applyAlignment="1">
      <alignment horizontal="left" indent="1"/>
    </xf>
    <xf numFmtId="0" fontId="5" fillId="3" borderId="1" xfId="0" applyFont="1" applyFill="1" applyBorder="1" applyAlignment="1"/>
    <xf numFmtId="0" fontId="5" fillId="0" borderId="0" xfId="0" applyFont="1" applyBorder="1" applyAlignment="1"/>
    <xf numFmtId="0" fontId="6" fillId="3" borderId="1" xfId="0" applyFont="1" applyFill="1" applyBorder="1" applyAlignment="1"/>
    <xf numFmtId="0" fontId="5" fillId="3" borderId="0" xfId="0" applyFont="1" applyFill="1" applyBorder="1" applyAlignment="1"/>
    <xf numFmtId="2" fontId="5" fillId="8" borderId="0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0" borderId="1" xfId="0" applyFont="1" applyBorder="1" applyAlignment="1"/>
    <xf numFmtId="164" fontId="5" fillId="0" borderId="1" xfId="0" applyNumberFormat="1" applyFont="1" applyBorder="1" applyAlignment="1"/>
    <xf numFmtId="164" fontId="5" fillId="0" borderId="0" xfId="0" applyNumberFormat="1" applyFont="1" applyBorder="1" applyAlignment="1">
      <alignment horizontal="right"/>
    </xf>
    <xf numFmtId="164" fontId="5" fillId="3" borderId="1" xfId="0" applyNumberFormat="1" applyFont="1" applyFill="1" applyBorder="1" applyAlignment="1"/>
    <xf numFmtId="164" fontId="5" fillId="3" borderId="0" xfId="0" applyNumberFormat="1" applyFont="1" applyFill="1" applyBorder="1" applyAlignment="1">
      <alignment horizontal="right"/>
    </xf>
    <xf numFmtId="1" fontId="5" fillId="0" borderId="0" xfId="0" applyNumberFormat="1" applyFont="1" applyBorder="1" applyAlignment="1">
      <alignment horizontal="right"/>
    </xf>
    <xf numFmtId="0" fontId="8" fillId="3" borderId="0" xfId="0" applyFont="1" applyFill="1" applyBorder="1" applyAlignment="1">
      <alignment textRotation="90" wrapText="1"/>
    </xf>
    <xf numFmtId="0" fontId="9" fillId="3" borderId="0" xfId="0" applyFont="1" applyFill="1" applyBorder="1" applyAlignment="1">
      <alignment textRotation="90" wrapText="1"/>
    </xf>
    <xf numFmtId="0" fontId="9" fillId="3" borderId="0" xfId="0" applyFont="1" applyFill="1" applyBorder="1" applyAlignment="1">
      <alignment textRotation="90"/>
    </xf>
    <xf numFmtId="0" fontId="9" fillId="3" borderId="0" xfId="0" applyFont="1" applyFill="1" applyBorder="1"/>
    <xf numFmtId="2" fontId="9" fillId="3" borderId="0" xfId="0" applyNumberFormat="1" applyFont="1" applyFill="1" applyBorder="1"/>
    <xf numFmtId="165" fontId="9" fillId="3" borderId="0" xfId="0" applyNumberFormat="1" applyFont="1" applyFill="1" applyBorder="1"/>
    <xf numFmtId="0" fontId="10" fillId="0" borderId="0" xfId="1" applyFont="1" applyAlignment="1" applyProtection="1">
      <alignment wrapText="1"/>
      <protection locked="0"/>
    </xf>
    <xf numFmtId="0" fontId="10" fillId="0" borderId="0" xfId="1" applyFont="1" applyProtection="1">
      <protection locked="0"/>
    </xf>
    <xf numFmtId="0" fontId="11" fillId="0" borderId="0" xfId="1" applyFont="1" applyProtection="1">
      <protection locked="0"/>
    </xf>
    <xf numFmtId="0" fontId="12" fillId="0" borderId="0" xfId="1" applyFont="1" applyProtection="1">
      <protection locked="0"/>
    </xf>
    <xf numFmtId="0" fontId="10" fillId="3" borderId="0" xfId="1" applyFont="1" applyFill="1" applyProtection="1">
      <protection locked="0"/>
    </xf>
    <xf numFmtId="0" fontId="10" fillId="3" borderId="0" xfId="1" applyFont="1" applyFill="1" applyAlignment="1" applyProtection="1">
      <alignment horizontal="center"/>
      <protection locked="0"/>
    </xf>
    <xf numFmtId="0" fontId="10" fillId="3" borderId="0" xfId="1" applyFont="1" applyFill="1" applyAlignment="1" applyProtection="1">
      <alignment horizontal="left" indent="1"/>
      <protection locked="0"/>
    </xf>
    <xf numFmtId="1" fontId="10" fillId="3" borderId="0" xfId="1" applyNumberFormat="1" applyFont="1" applyFill="1" applyAlignment="1" applyProtection="1">
      <alignment horizontal="center"/>
      <protection locked="0"/>
    </xf>
    <xf numFmtId="2" fontId="10" fillId="3" borderId="0" xfId="1" applyNumberFormat="1" applyFont="1" applyFill="1" applyAlignment="1" applyProtection="1">
      <alignment horizontal="center"/>
      <protection locked="0"/>
    </xf>
    <xf numFmtId="1" fontId="10" fillId="3" borderId="0" xfId="1" applyNumberFormat="1" applyFont="1" applyFill="1" applyAlignment="1" applyProtection="1">
      <alignment horizontal="center"/>
    </xf>
    <xf numFmtId="0" fontId="11" fillId="0" borderId="1" xfId="1" applyFont="1" applyBorder="1" applyAlignment="1" applyProtection="1">
      <alignment wrapText="1"/>
      <protection locked="0"/>
    </xf>
    <xf numFmtId="0" fontId="12" fillId="0" borderId="1" xfId="1" applyFont="1" applyBorder="1" applyAlignment="1" applyProtection="1">
      <alignment wrapText="1"/>
      <protection locked="0"/>
    </xf>
    <xf numFmtId="0" fontId="13" fillId="3" borderId="1" xfId="1" applyFont="1" applyFill="1" applyBorder="1" applyAlignment="1" applyProtection="1">
      <alignment wrapText="1"/>
      <protection locked="0"/>
    </xf>
    <xf numFmtId="0" fontId="10" fillId="3" borderId="1" xfId="1" applyFont="1" applyFill="1" applyBorder="1" applyAlignment="1" applyProtection="1">
      <alignment horizontal="center" wrapText="1"/>
      <protection locked="0"/>
    </xf>
    <xf numFmtId="0" fontId="10" fillId="3" borderId="1" xfId="1" applyFont="1" applyFill="1" applyBorder="1" applyAlignment="1" applyProtection="1">
      <alignment horizontal="left" wrapText="1"/>
      <protection locked="0"/>
    </xf>
    <xf numFmtId="0" fontId="14" fillId="3" borderId="1" xfId="1" applyFont="1" applyFill="1" applyBorder="1" applyAlignment="1" applyProtection="1">
      <alignment horizontal="left" wrapText="1"/>
      <protection locked="0"/>
    </xf>
    <xf numFmtId="0" fontId="12" fillId="0" borderId="1" xfId="1" applyFont="1" applyBorder="1" applyProtection="1"/>
    <xf numFmtId="0" fontId="15" fillId="3" borderId="1" xfId="1" applyFont="1" applyFill="1" applyBorder="1" applyProtection="1">
      <protection locked="0"/>
    </xf>
    <xf numFmtId="0" fontId="10" fillId="3" borderId="1" xfId="1" applyFont="1" applyFill="1" applyBorder="1" applyAlignment="1" applyProtection="1">
      <alignment horizontal="center"/>
      <protection locked="0"/>
    </xf>
    <xf numFmtId="0" fontId="10" fillId="3" borderId="1" xfId="1" applyFont="1" applyFill="1" applyBorder="1" applyAlignment="1" applyProtection="1">
      <alignment horizontal="left" indent="1"/>
      <protection locked="0"/>
    </xf>
    <xf numFmtId="0" fontId="10" fillId="3" borderId="1" xfId="1" applyFont="1" applyFill="1" applyBorder="1" applyProtection="1">
      <protection locked="0"/>
    </xf>
    <xf numFmtId="0" fontId="15" fillId="3" borderId="1" xfId="1" applyFont="1" applyFill="1" applyBorder="1" applyAlignment="1" applyProtection="1">
      <alignment horizontal="left"/>
      <protection locked="0"/>
    </xf>
    <xf numFmtId="0" fontId="10" fillId="3" borderId="1" xfId="1" applyFont="1" applyFill="1" applyBorder="1" applyAlignment="1" applyProtection="1">
      <alignment horizontal="center"/>
    </xf>
    <xf numFmtId="0" fontId="14" fillId="3" borderId="1" xfId="1" applyFont="1" applyFill="1" applyBorder="1" applyProtection="1">
      <protection locked="0"/>
    </xf>
    <xf numFmtId="0" fontId="14" fillId="3" borderId="1" xfId="1" applyFont="1" applyFill="1" applyBorder="1" applyAlignment="1" applyProtection="1">
      <alignment horizontal="left" indent="1"/>
      <protection locked="0"/>
    </xf>
    <xf numFmtId="0" fontId="14" fillId="0" borderId="0" xfId="1" applyFont="1" applyProtection="1">
      <protection locked="0"/>
    </xf>
    <xf numFmtId="0" fontId="14" fillId="3" borderId="1" xfId="1" applyFont="1" applyFill="1" applyBorder="1" applyAlignment="1" applyProtection="1">
      <alignment horizontal="center"/>
    </xf>
    <xf numFmtId="0" fontId="16" fillId="3" borderId="1" xfId="1" applyFont="1" applyFill="1" applyBorder="1" applyProtection="1">
      <protection locked="0"/>
    </xf>
    <xf numFmtId="0" fontId="13" fillId="9" borderId="1" xfId="1" applyFont="1" applyFill="1" applyBorder="1" applyAlignment="1" applyProtection="1">
      <alignment wrapText="1"/>
      <protection locked="0"/>
    </xf>
    <xf numFmtId="2" fontId="13" fillId="3" borderId="1" xfId="1" applyNumberFormat="1" applyFont="1" applyFill="1" applyBorder="1" applyAlignment="1" applyProtection="1">
      <alignment wrapText="1"/>
      <protection locked="0"/>
    </xf>
    <xf numFmtId="0" fontId="13" fillId="7" borderId="1" xfId="1" applyFont="1" applyFill="1" applyBorder="1" applyAlignment="1" applyProtection="1">
      <alignment wrapText="1"/>
      <protection locked="0"/>
    </xf>
    <xf numFmtId="1" fontId="10" fillId="9" borderId="1" xfId="1" applyNumberFormat="1" applyFont="1" applyFill="1" applyBorder="1" applyAlignment="1" applyProtection="1">
      <alignment horizontal="center"/>
      <protection locked="0"/>
    </xf>
    <xf numFmtId="0" fontId="10" fillId="9" borderId="1" xfId="1" applyFont="1" applyFill="1" applyBorder="1" applyAlignment="1" applyProtection="1">
      <alignment horizontal="center"/>
      <protection locked="0"/>
    </xf>
    <xf numFmtId="2" fontId="10" fillId="3" borderId="1" xfId="1" applyNumberFormat="1" applyFont="1" applyFill="1" applyBorder="1" applyAlignment="1" applyProtection="1">
      <alignment horizontal="center"/>
      <protection locked="0"/>
    </xf>
    <xf numFmtId="0" fontId="10" fillId="7" borderId="1" xfId="1" applyFont="1" applyFill="1" applyBorder="1" applyAlignment="1" applyProtection="1">
      <alignment horizontal="center"/>
      <protection locked="0"/>
    </xf>
    <xf numFmtId="0" fontId="17" fillId="3" borderId="1" xfId="0" applyFont="1" applyFill="1" applyBorder="1" applyAlignment="1" applyProtection="1">
      <alignment horizontal="center" wrapText="1"/>
      <protection locked="0"/>
    </xf>
    <xf numFmtId="1" fontId="17" fillId="9" borderId="1" xfId="0" applyNumberFormat="1" applyFont="1" applyFill="1" applyBorder="1" applyAlignment="1" applyProtection="1">
      <alignment horizontal="center" wrapText="1"/>
      <protection locked="0"/>
    </xf>
    <xf numFmtId="0" fontId="17" fillId="9" borderId="1" xfId="0" applyFont="1" applyFill="1" applyBorder="1" applyAlignment="1" applyProtection="1">
      <alignment horizontal="center" wrapText="1"/>
      <protection locked="0"/>
    </xf>
    <xf numFmtId="2" fontId="17" fillId="3" borderId="1" xfId="0" applyNumberFormat="1" applyFont="1" applyFill="1" applyBorder="1" applyAlignment="1" applyProtection="1">
      <alignment horizontal="center" wrapText="1"/>
      <protection locked="0"/>
    </xf>
    <xf numFmtId="0" fontId="17" fillId="7" borderId="1" xfId="0" applyFont="1" applyFill="1" applyBorder="1" applyAlignment="1" applyProtection="1">
      <alignment horizontal="center" wrapText="1"/>
      <protection locked="0"/>
    </xf>
    <xf numFmtId="0" fontId="14" fillId="2" borderId="1" xfId="1" applyFont="1" applyFill="1" applyBorder="1" applyAlignment="1" applyProtection="1">
      <alignment horizontal="center"/>
    </xf>
    <xf numFmtId="1" fontId="10" fillId="9" borderId="1" xfId="0" applyNumberFormat="1" applyFont="1" applyFill="1" applyBorder="1" applyAlignment="1" applyProtection="1">
      <alignment horizontal="center"/>
      <protection locked="0"/>
    </xf>
    <xf numFmtId="2" fontId="17" fillId="2" borderId="1" xfId="0" applyNumberFormat="1" applyFont="1" applyFill="1" applyBorder="1" applyAlignment="1" applyProtection="1">
      <alignment horizontal="center" wrapText="1"/>
    </xf>
    <xf numFmtId="164" fontId="10" fillId="3" borderId="1" xfId="0" applyNumberFormat="1" applyFont="1" applyFill="1" applyBorder="1" applyAlignment="1" applyProtection="1">
      <alignment horizontal="center"/>
      <protection locked="0"/>
    </xf>
    <xf numFmtId="2" fontId="10" fillId="7" borderId="1" xfId="0" applyNumberFormat="1" applyFont="1" applyFill="1" applyBorder="1" applyAlignment="1" applyProtection="1">
      <alignment horizontal="center"/>
    </xf>
    <xf numFmtId="2" fontId="14" fillId="3" borderId="1" xfId="0" applyNumberFormat="1" applyFont="1" applyFill="1" applyBorder="1" applyAlignment="1" applyProtection="1">
      <alignment horizontal="center"/>
      <protection locked="0"/>
    </xf>
    <xf numFmtId="0" fontId="14" fillId="3" borderId="1" xfId="1" applyFont="1" applyFill="1" applyBorder="1" applyAlignment="1" applyProtection="1">
      <alignment horizontal="center"/>
      <protection locked="0"/>
    </xf>
    <xf numFmtId="0" fontId="14" fillId="8" borderId="1" xfId="1" applyFont="1" applyFill="1" applyBorder="1" applyAlignment="1" applyProtection="1">
      <alignment horizontal="center"/>
    </xf>
    <xf numFmtId="2" fontId="10" fillId="3" borderId="1" xfId="0" applyNumberFormat="1" applyFont="1" applyFill="1" applyBorder="1" applyAlignment="1" applyProtection="1">
      <alignment horizontal="center"/>
      <protection locked="0"/>
    </xf>
    <xf numFmtId="2" fontId="17" fillId="3" borderId="1" xfId="0" applyNumberFormat="1" applyFont="1" applyFill="1" applyBorder="1" applyAlignment="1" applyProtection="1">
      <alignment horizontal="center" wrapText="1"/>
    </xf>
    <xf numFmtId="2" fontId="10" fillId="7" borderId="1" xfId="0" applyNumberFormat="1" applyFont="1" applyFill="1" applyBorder="1" applyAlignment="1" applyProtection="1">
      <alignment horizontal="center"/>
      <protection locked="0"/>
    </xf>
    <xf numFmtId="0" fontId="10" fillId="8" borderId="1" xfId="1" applyFont="1" applyFill="1" applyBorder="1" applyAlignment="1" applyProtection="1">
      <alignment horizontal="center"/>
    </xf>
    <xf numFmtId="0" fontId="14" fillId="2" borderId="1" xfId="1" applyFont="1" applyFill="1" applyBorder="1" applyAlignment="1" applyProtection="1">
      <alignment horizontal="center"/>
      <protection locked="0"/>
    </xf>
    <xf numFmtId="0" fontId="14" fillId="7" borderId="1" xfId="1" applyFont="1" applyFill="1" applyBorder="1" applyAlignment="1" applyProtection="1">
      <alignment horizontal="center"/>
      <protection locked="0"/>
    </xf>
    <xf numFmtId="0" fontId="10" fillId="8" borderId="1" xfId="1" applyFont="1" applyFill="1" applyBorder="1" applyAlignment="1" applyProtection="1">
      <alignment horizontal="center"/>
      <protection locked="0"/>
    </xf>
    <xf numFmtId="0" fontId="14" fillId="9" borderId="1" xfId="1" applyFont="1" applyFill="1" applyBorder="1" applyAlignment="1" applyProtection="1">
      <alignment horizontal="center"/>
      <protection locked="0"/>
    </xf>
    <xf numFmtId="2" fontId="10" fillId="3" borderId="1" xfId="1" applyNumberFormat="1" applyFont="1" applyFill="1" applyBorder="1" applyAlignment="1" applyProtection="1">
      <alignment horizontal="center"/>
    </xf>
    <xf numFmtId="0" fontId="13" fillId="10" borderId="1" xfId="1" applyFont="1" applyFill="1" applyBorder="1" applyAlignment="1" applyProtection="1">
      <alignment wrapText="1"/>
      <protection locked="0"/>
    </xf>
    <xf numFmtId="1" fontId="13" fillId="3" borderId="1" xfId="1" applyNumberFormat="1" applyFont="1" applyFill="1" applyBorder="1" applyAlignment="1" applyProtection="1">
      <alignment wrapText="1"/>
    </xf>
    <xf numFmtId="0" fontId="18" fillId="10" borderId="1" xfId="1" applyFont="1" applyFill="1" applyBorder="1" applyAlignment="1" applyProtection="1">
      <alignment wrapText="1"/>
      <protection locked="0"/>
    </xf>
    <xf numFmtId="1" fontId="18" fillId="3" borderId="1" xfId="1" applyNumberFormat="1" applyFont="1" applyFill="1" applyBorder="1" applyAlignment="1" applyProtection="1">
      <alignment wrapText="1"/>
      <protection locked="0"/>
    </xf>
    <xf numFmtId="0" fontId="10" fillId="10" borderId="1" xfId="1" applyFont="1" applyFill="1" applyBorder="1" applyAlignment="1" applyProtection="1">
      <alignment horizontal="center"/>
      <protection locked="0"/>
    </xf>
    <xf numFmtId="1" fontId="10" fillId="3" borderId="1" xfId="1" applyNumberFormat="1" applyFont="1" applyFill="1" applyBorder="1" applyAlignment="1" applyProtection="1">
      <alignment horizontal="center"/>
    </xf>
    <xf numFmtId="1" fontId="10" fillId="3" borderId="1" xfId="1" applyNumberFormat="1" applyFont="1" applyFill="1" applyBorder="1" applyAlignment="1" applyProtection="1">
      <alignment horizontal="center"/>
      <protection locked="0"/>
    </xf>
    <xf numFmtId="2" fontId="10" fillId="10" borderId="1" xfId="0" applyNumberFormat="1" applyFont="1" applyFill="1" applyBorder="1" applyAlignment="1" applyProtection="1">
      <alignment horizontal="center"/>
    </xf>
    <xf numFmtId="1" fontId="17" fillId="3" borderId="1" xfId="0" applyNumberFormat="1" applyFont="1" applyFill="1" applyBorder="1" applyAlignment="1" applyProtection="1">
      <alignment horizontal="center" wrapText="1"/>
    </xf>
    <xf numFmtId="1" fontId="14" fillId="3" borderId="1" xfId="1" applyNumberFormat="1" applyFont="1" applyFill="1" applyBorder="1" applyAlignment="1" applyProtection="1">
      <alignment horizontal="center"/>
      <protection locked="0"/>
    </xf>
    <xf numFmtId="1" fontId="10" fillId="3" borderId="1" xfId="0" applyNumberFormat="1" applyFont="1" applyFill="1" applyBorder="1" applyAlignment="1" applyProtection="1">
      <alignment horizontal="center"/>
    </xf>
    <xf numFmtId="1" fontId="14" fillId="3" borderId="1" xfId="0" applyNumberFormat="1" applyFont="1" applyFill="1" applyBorder="1" applyAlignment="1" applyProtection="1">
      <alignment horizontal="center"/>
      <protection locked="0"/>
    </xf>
    <xf numFmtId="1" fontId="14" fillId="3" borderId="1" xfId="0" applyNumberFormat="1" applyFont="1" applyFill="1" applyBorder="1" applyAlignment="1" applyProtection="1">
      <alignment horizontal="center"/>
    </xf>
    <xf numFmtId="1" fontId="10" fillId="3" borderId="1" xfId="0" applyNumberFormat="1" applyFont="1" applyFill="1" applyBorder="1" applyAlignment="1" applyProtection="1">
      <alignment horizontal="center"/>
      <protection locked="0"/>
    </xf>
    <xf numFmtId="2" fontId="14" fillId="10" borderId="1" xfId="0" applyNumberFormat="1" applyFont="1" applyFill="1" applyBorder="1" applyAlignment="1" applyProtection="1">
      <alignment horizontal="center"/>
    </xf>
    <xf numFmtId="0" fontId="10" fillId="5" borderId="1" xfId="1" applyFont="1" applyFill="1" applyBorder="1" applyProtection="1">
      <protection locked="0"/>
    </xf>
    <xf numFmtId="0" fontId="10" fillId="11" borderId="1" xfId="1" applyFont="1" applyFill="1" applyBorder="1" applyProtection="1">
      <protection locked="0"/>
    </xf>
    <xf numFmtId="0" fontId="10" fillId="2" borderId="1" xfId="1" applyFont="1" applyFill="1" applyBorder="1" applyAlignment="1" applyProtection="1">
      <alignment horizontal="center"/>
      <protection locked="0"/>
    </xf>
    <xf numFmtId="2" fontId="10" fillId="2" borderId="1" xfId="1" applyNumberFormat="1" applyFont="1" applyFill="1" applyBorder="1" applyAlignment="1" applyProtection="1">
      <alignment horizontal="center"/>
      <protection locked="0"/>
    </xf>
    <xf numFmtId="0" fontId="10" fillId="7" borderId="1" xfId="1" applyFont="1" applyFill="1" applyBorder="1" applyAlignment="1" applyProtection="1">
      <alignment horizontal="center"/>
    </xf>
    <xf numFmtId="0" fontId="15" fillId="3" borderId="1" xfId="1" applyFont="1" applyFill="1" applyBorder="1" applyAlignment="1" applyProtection="1">
      <alignment horizontal="center"/>
      <protection locked="0"/>
    </xf>
    <xf numFmtId="0" fontId="10" fillId="9" borderId="1" xfId="1" applyFont="1" applyFill="1" applyBorder="1" applyAlignment="1" applyProtection="1">
      <alignment horizontal="center"/>
    </xf>
    <xf numFmtId="0" fontId="13" fillId="3" borderId="1" xfId="1" applyFont="1" applyFill="1" applyBorder="1" applyAlignment="1" applyProtection="1">
      <alignment horizontal="center"/>
      <protection locked="0"/>
    </xf>
    <xf numFmtId="1" fontId="18" fillId="3" borderId="1" xfId="1" applyNumberFormat="1" applyFont="1" applyFill="1" applyBorder="1" applyAlignment="1" applyProtection="1">
      <alignment horizontal="center"/>
      <protection locked="0"/>
    </xf>
    <xf numFmtId="0" fontId="10" fillId="2" borderId="1" xfId="1" applyFont="1" applyFill="1" applyBorder="1" applyAlignment="1" applyProtection="1">
      <alignment horizontal="center"/>
    </xf>
    <xf numFmtId="0" fontId="12" fillId="2" borderId="1" xfId="1" applyFont="1" applyFill="1" applyBorder="1" applyProtection="1"/>
    <xf numFmtId="0" fontId="15" fillId="2" borderId="1" xfId="1" applyFont="1" applyFill="1" applyBorder="1" applyProtection="1">
      <protection locked="0"/>
    </xf>
    <xf numFmtId="0" fontId="10" fillId="2" borderId="1" xfId="1" applyFont="1" applyFill="1" applyBorder="1" applyProtection="1">
      <protection locked="0"/>
    </xf>
    <xf numFmtId="0" fontId="19" fillId="0" borderId="0" xfId="1" applyFont="1" applyAlignment="1" applyProtection="1">
      <alignment wrapText="1"/>
      <protection locked="0"/>
    </xf>
    <xf numFmtId="0" fontId="19" fillId="0" borderId="0" xfId="1" applyFont="1" applyProtection="1">
      <protection locked="0"/>
    </xf>
    <xf numFmtId="0" fontId="20" fillId="0" borderId="0" xfId="1" applyFont="1" applyProtection="1">
      <protection locked="0"/>
    </xf>
    <xf numFmtId="0" fontId="21" fillId="0" borderId="0" xfId="1" applyFont="1" applyProtection="1">
      <protection locked="0"/>
    </xf>
    <xf numFmtId="0" fontId="19" fillId="3" borderId="0" xfId="1" applyFont="1" applyFill="1" applyAlignment="1" applyProtection="1">
      <alignment horizontal="left"/>
      <protection locked="0"/>
    </xf>
    <xf numFmtId="0" fontId="21" fillId="3" borderId="0" xfId="1" applyFont="1" applyFill="1" applyAlignment="1" applyProtection="1">
      <alignment horizontal="center"/>
      <protection locked="0"/>
    </xf>
    <xf numFmtId="0" fontId="19" fillId="3" borderId="0" xfId="1" applyFont="1" applyFill="1" applyAlignment="1" applyProtection="1">
      <alignment horizontal="left" indent="1"/>
      <protection locked="0"/>
    </xf>
    <xf numFmtId="0" fontId="19" fillId="3" borderId="0" xfId="1" applyFont="1" applyFill="1" applyAlignment="1" applyProtection="1">
      <alignment horizontal="center"/>
      <protection locked="0"/>
    </xf>
    <xf numFmtId="1" fontId="19" fillId="3" borderId="0" xfId="1" applyNumberFormat="1" applyFont="1" applyFill="1" applyAlignment="1" applyProtection="1">
      <alignment horizontal="center"/>
      <protection locked="0"/>
    </xf>
    <xf numFmtId="2" fontId="19" fillId="3" borderId="0" xfId="1" applyNumberFormat="1" applyFont="1" applyFill="1" applyAlignment="1" applyProtection="1">
      <alignment horizontal="center"/>
      <protection locked="0"/>
    </xf>
    <xf numFmtId="165" fontId="19" fillId="3" borderId="0" xfId="1" applyNumberFormat="1" applyFont="1" applyFill="1" applyAlignment="1" applyProtection="1">
      <alignment horizontal="center"/>
      <protection locked="0"/>
    </xf>
    <xf numFmtId="1" fontId="19" fillId="3" borderId="0" xfId="1" applyNumberFormat="1" applyFont="1" applyFill="1" applyAlignment="1" applyProtection="1">
      <alignment horizontal="center"/>
    </xf>
    <xf numFmtId="164" fontId="19" fillId="0" borderId="0" xfId="1" applyNumberFormat="1" applyFont="1" applyProtection="1">
      <protection locked="0"/>
    </xf>
    <xf numFmtId="0" fontId="22" fillId="0" borderId="0" xfId="0" applyFont="1"/>
    <xf numFmtId="0" fontId="20" fillId="0" borderId="1" xfId="1" applyFont="1" applyBorder="1" applyAlignment="1" applyProtection="1">
      <alignment wrapText="1"/>
      <protection locked="0"/>
    </xf>
    <xf numFmtId="0" fontId="21" fillId="0" borderId="1" xfId="1" applyFont="1" applyBorder="1" applyAlignment="1" applyProtection="1">
      <alignment wrapText="1"/>
      <protection locked="0"/>
    </xf>
    <xf numFmtId="0" fontId="21" fillId="3" borderId="1" xfId="1" applyFont="1" applyFill="1" applyBorder="1" applyAlignment="1" applyProtection="1">
      <alignment horizontal="left" wrapText="1"/>
      <protection locked="0"/>
    </xf>
    <xf numFmtId="0" fontId="21" fillId="3" borderId="1" xfId="1" applyFont="1" applyFill="1" applyBorder="1" applyAlignment="1" applyProtection="1">
      <alignment horizontal="center" wrapText="1"/>
      <protection locked="0"/>
    </xf>
    <xf numFmtId="0" fontId="19" fillId="3" borderId="1" xfId="1" applyFont="1" applyFill="1" applyBorder="1" applyAlignment="1" applyProtection="1">
      <alignment horizontal="left" wrapText="1"/>
      <protection locked="0"/>
    </xf>
    <xf numFmtId="0" fontId="21" fillId="0" borderId="1" xfId="1" applyFont="1" applyBorder="1" applyProtection="1"/>
    <xf numFmtId="0" fontId="21" fillId="3" borderId="1" xfId="1" applyFont="1" applyFill="1" applyBorder="1" applyProtection="1">
      <protection locked="0"/>
    </xf>
    <xf numFmtId="0" fontId="21" fillId="3" borderId="1" xfId="1" applyFont="1" applyFill="1" applyBorder="1" applyAlignment="1" applyProtection="1">
      <alignment horizontal="center"/>
      <protection locked="0"/>
    </xf>
    <xf numFmtId="0" fontId="19" fillId="3" borderId="1" xfId="1" applyFont="1" applyFill="1" applyBorder="1" applyAlignment="1" applyProtection="1">
      <alignment horizontal="left" indent="1"/>
      <protection locked="0"/>
    </xf>
    <xf numFmtId="0" fontId="19" fillId="3" borderId="1" xfId="1" applyFont="1" applyFill="1" applyBorder="1" applyAlignment="1" applyProtection="1">
      <alignment horizontal="left"/>
      <protection locked="0"/>
    </xf>
    <xf numFmtId="0" fontId="19" fillId="3" borderId="1" xfId="1" applyFont="1" applyFill="1" applyBorder="1" applyAlignment="1" applyProtection="1">
      <alignment horizontal="center"/>
      <protection locked="0"/>
    </xf>
    <xf numFmtId="0" fontId="21" fillId="3" borderId="1" xfId="1" applyFont="1" applyFill="1" applyBorder="1" applyAlignment="1" applyProtection="1">
      <alignment horizontal="left"/>
      <protection locked="0"/>
    </xf>
    <xf numFmtId="0" fontId="21" fillId="3" borderId="1" xfId="1" applyFont="1" applyFill="1" applyBorder="1" applyAlignment="1" applyProtection="1">
      <alignment horizontal="center"/>
    </xf>
    <xf numFmtId="0" fontId="19" fillId="3" borderId="1" xfId="1" applyFont="1" applyFill="1" applyBorder="1" applyAlignment="1" applyProtection="1">
      <alignment horizontal="center"/>
    </xf>
    <xf numFmtId="0" fontId="21" fillId="2" borderId="1" xfId="1" applyFont="1" applyFill="1" applyBorder="1" applyProtection="1">
      <protection locked="0"/>
    </xf>
    <xf numFmtId="0" fontId="23" fillId="3" borderId="1" xfId="1" applyFont="1" applyFill="1" applyBorder="1" applyAlignment="1" applyProtection="1">
      <alignment wrapText="1"/>
      <protection locked="0"/>
    </xf>
    <xf numFmtId="2" fontId="23" fillId="3" borderId="1" xfId="1" applyNumberFormat="1" applyFont="1" applyFill="1" applyBorder="1" applyAlignment="1" applyProtection="1">
      <alignment wrapText="1"/>
      <protection locked="0"/>
    </xf>
    <xf numFmtId="165" fontId="23" fillId="3" borderId="1" xfId="1" applyNumberFormat="1" applyFont="1" applyFill="1" applyBorder="1" applyAlignment="1" applyProtection="1">
      <alignment wrapText="1"/>
      <protection locked="0"/>
    </xf>
    <xf numFmtId="1" fontId="19" fillId="3" borderId="1" xfId="1" applyNumberFormat="1" applyFont="1" applyFill="1" applyBorder="1" applyAlignment="1" applyProtection="1">
      <alignment horizontal="center"/>
      <protection locked="0"/>
    </xf>
    <xf numFmtId="2" fontId="19" fillId="3" borderId="1" xfId="1" applyNumberFormat="1" applyFont="1" applyFill="1" applyBorder="1" applyAlignment="1" applyProtection="1">
      <alignment horizontal="center"/>
      <protection locked="0"/>
    </xf>
    <xf numFmtId="165" fontId="19" fillId="3" borderId="1" xfId="1" applyNumberFormat="1" applyFont="1" applyFill="1" applyBorder="1" applyAlignment="1" applyProtection="1">
      <alignment horizontal="center"/>
      <protection locked="0"/>
    </xf>
    <xf numFmtId="0" fontId="24" fillId="11" borderId="1" xfId="0" applyFont="1" applyFill="1" applyBorder="1" applyAlignment="1" applyProtection="1">
      <alignment horizontal="center" wrapText="1"/>
      <protection locked="0"/>
    </xf>
    <xf numFmtId="0" fontId="24" fillId="3" borderId="1" xfId="0" applyFont="1" applyFill="1" applyBorder="1" applyAlignment="1" applyProtection="1">
      <alignment horizontal="center" wrapText="1"/>
      <protection locked="0"/>
    </xf>
    <xf numFmtId="1" fontId="24" fillId="2" borderId="1" xfId="0" applyNumberFormat="1" applyFont="1" applyFill="1" applyBorder="1" applyAlignment="1" applyProtection="1">
      <alignment horizontal="center" wrapText="1"/>
      <protection locked="0"/>
    </xf>
    <xf numFmtId="2" fontId="24" fillId="3" borderId="1" xfId="0" applyNumberFormat="1" applyFont="1" applyFill="1" applyBorder="1" applyAlignment="1" applyProtection="1">
      <alignment horizontal="center" wrapText="1"/>
      <protection locked="0"/>
    </xf>
    <xf numFmtId="165" fontId="24" fillId="3" borderId="1" xfId="0" applyNumberFormat="1" applyFont="1" applyFill="1" applyBorder="1" applyAlignment="1" applyProtection="1">
      <alignment horizontal="center" wrapText="1"/>
      <protection locked="0"/>
    </xf>
    <xf numFmtId="0" fontId="19" fillId="11" borderId="1" xfId="1" applyFont="1" applyFill="1" applyBorder="1" applyAlignment="1" applyProtection="1">
      <alignment horizontal="center"/>
      <protection locked="0"/>
    </xf>
    <xf numFmtId="0" fontId="19" fillId="2" borderId="1" xfId="1" applyFont="1" applyFill="1" applyBorder="1" applyAlignment="1" applyProtection="1">
      <alignment horizontal="center"/>
    </xf>
    <xf numFmtId="1" fontId="19" fillId="2" borderId="1" xfId="0" applyNumberFormat="1" applyFont="1" applyFill="1" applyBorder="1" applyAlignment="1" applyProtection="1">
      <alignment horizontal="center"/>
      <protection locked="0"/>
    </xf>
    <xf numFmtId="2" fontId="24" fillId="3" borderId="1" xfId="0" applyNumberFormat="1" applyFont="1" applyFill="1" applyBorder="1" applyAlignment="1" applyProtection="1">
      <alignment horizontal="center" wrapText="1"/>
    </xf>
    <xf numFmtId="164" fontId="19" fillId="3" borderId="1" xfId="0" applyNumberFormat="1" applyFont="1" applyFill="1" applyBorder="1" applyAlignment="1" applyProtection="1">
      <alignment horizontal="center"/>
      <protection locked="0"/>
    </xf>
    <xf numFmtId="165" fontId="19" fillId="3" borderId="1" xfId="0" applyNumberFormat="1" applyFont="1" applyFill="1" applyBorder="1" applyAlignment="1" applyProtection="1">
      <alignment horizontal="center"/>
    </xf>
    <xf numFmtId="2" fontId="19" fillId="3" borderId="1" xfId="0" applyNumberFormat="1" applyFont="1" applyFill="1" applyBorder="1" applyAlignment="1" applyProtection="1">
      <alignment horizontal="center"/>
      <protection locked="0"/>
    </xf>
    <xf numFmtId="1" fontId="19" fillId="2" borderId="1" xfId="1" applyNumberFormat="1" applyFont="1" applyFill="1" applyBorder="1" applyAlignment="1" applyProtection="1">
      <alignment horizontal="center"/>
      <protection locked="0"/>
    </xf>
    <xf numFmtId="165" fontId="19" fillId="3" borderId="1" xfId="0" applyNumberFormat="1" applyFont="1" applyFill="1" applyBorder="1" applyAlignment="1" applyProtection="1">
      <alignment horizontal="center"/>
      <protection locked="0"/>
    </xf>
    <xf numFmtId="0" fontId="19" fillId="11" borderId="1" xfId="1" applyFont="1" applyFill="1" applyBorder="1" applyAlignment="1" applyProtection="1">
      <alignment horizontal="center"/>
    </xf>
    <xf numFmtId="0" fontId="19" fillId="2" borderId="1" xfId="1" applyFont="1" applyFill="1" applyBorder="1" applyAlignment="1" applyProtection="1">
      <alignment horizontal="center"/>
      <protection locked="0"/>
    </xf>
    <xf numFmtId="2" fontId="19" fillId="3" borderId="1" xfId="1" applyNumberFormat="1" applyFont="1" applyFill="1" applyBorder="1" applyAlignment="1" applyProtection="1">
      <alignment horizontal="center"/>
    </xf>
    <xf numFmtId="1" fontId="23" fillId="3" borderId="1" xfId="1" applyNumberFormat="1" applyFont="1" applyFill="1" applyBorder="1" applyAlignment="1" applyProtection="1">
      <alignment wrapText="1"/>
    </xf>
    <xf numFmtId="1" fontId="23" fillId="3" borderId="1" xfId="1" applyNumberFormat="1" applyFont="1" applyFill="1" applyBorder="1" applyAlignment="1" applyProtection="1">
      <alignment wrapText="1"/>
      <protection locked="0"/>
    </xf>
    <xf numFmtId="164" fontId="19" fillId="0" borderId="0" xfId="1" applyNumberFormat="1" applyFont="1" applyAlignment="1" applyProtection="1">
      <alignment wrapText="1"/>
      <protection locked="0"/>
    </xf>
    <xf numFmtId="1" fontId="19" fillId="3" borderId="1" xfId="1" applyNumberFormat="1" applyFont="1" applyFill="1" applyBorder="1" applyAlignment="1" applyProtection="1">
      <alignment horizontal="center"/>
    </xf>
    <xf numFmtId="2" fontId="19" fillId="3" borderId="1" xfId="0" applyNumberFormat="1" applyFont="1" applyFill="1" applyBorder="1" applyAlignment="1" applyProtection="1">
      <alignment horizontal="center"/>
    </xf>
    <xf numFmtId="1" fontId="24" fillId="3" borderId="1" xfId="0" applyNumberFormat="1" applyFont="1" applyFill="1" applyBorder="1" applyAlignment="1" applyProtection="1">
      <alignment horizontal="center" wrapText="1"/>
    </xf>
    <xf numFmtId="1" fontId="19" fillId="3" borderId="1" xfId="0" applyNumberFormat="1" applyFont="1" applyFill="1" applyBorder="1" applyAlignment="1" applyProtection="1">
      <alignment horizontal="center"/>
    </xf>
    <xf numFmtId="1" fontId="19" fillId="3" borderId="1" xfId="0" applyNumberFormat="1" applyFont="1" applyFill="1" applyBorder="1" applyAlignment="1" applyProtection="1">
      <alignment horizontal="center"/>
      <protection locked="0"/>
    </xf>
    <xf numFmtId="0" fontId="19" fillId="5" borderId="1" xfId="1" applyFont="1" applyFill="1" applyBorder="1" applyAlignment="1" applyProtection="1">
      <alignment horizontal="left"/>
      <protection locked="0"/>
    </xf>
    <xf numFmtId="0" fontId="19" fillId="11" borderId="1" xfId="1" applyFont="1" applyFill="1" applyBorder="1" applyAlignment="1" applyProtection="1">
      <alignment horizontal="left"/>
      <protection locked="0"/>
    </xf>
    <xf numFmtId="165" fontId="19" fillId="3" borderId="1" xfId="1" applyNumberFormat="1" applyFont="1" applyFill="1" applyBorder="1" applyAlignment="1" applyProtection="1">
      <alignment horizontal="center"/>
    </xf>
    <xf numFmtId="0" fontId="21" fillId="2" borderId="1" xfId="1" applyFont="1" applyFill="1" applyBorder="1" applyAlignment="1" applyProtection="1">
      <alignment horizontal="left"/>
      <protection locked="0"/>
    </xf>
    <xf numFmtId="0" fontId="25" fillId="2" borderId="1" xfId="1" applyFont="1" applyFill="1" applyBorder="1" applyAlignment="1" applyProtection="1">
      <protection locked="0"/>
    </xf>
    <xf numFmtId="0" fontId="21" fillId="2" borderId="1" xfId="1" applyFont="1" applyFill="1" applyBorder="1" applyAlignment="1" applyProtection="1">
      <alignment horizontal="center"/>
    </xf>
    <xf numFmtId="0" fontId="23" fillId="3" borderId="1" xfId="1" applyFont="1" applyFill="1" applyBorder="1" applyAlignment="1" applyProtection="1">
      <alignment horizontal="left"/>
      <protection locked="0"/>
    </xf>
    <xf numFmtId="0" fontId="21" fillId="2" borderId="1" xfId="1" applyFont="1" applyFill="1" applyBorder="1" applyAlignment="1" applyProtection="1">
      <alignment horizontal="center"/>
      <protection locked="0"/>
    </xf>
    <xf numFmtId="0" fontId="5" fillId="2" borderId="1" xfId="1" applyFont="1" applyFill="1" applyBorder="1" applyAlignment="1" applyProtection="1">
      <alignment horizontal="center"/>
    </xf>
    <xf numFmtId="16" fontId="0" fillId="0" borderId="0" xfId="0" applyNumberFormat="1"/>
    <xf numFmtId="15" fontId="0" fillId="0" borderId="0" xfId="0" applyNumberFormat="1"/>
    <xf numFmtId="18" fontId="0" fillId="0" borderId="0" xfId="0" applyNumberFormat="1"/>
    <xf numFmtId="0" fontId="0" fillId="2" borderId="0" xfId="0" applyFill="1"/>
    <xf numFmtId="0" fontId="19" fillId="3" borderId="0" xfId="1" applyFont="1" applyFill="1" applyAlignment="1" applyProtection="1">
      <alignment horizontal="right"/>
      <protection locked="0"/>
    </xf>
    <xf numFmtId="165" fontId="19" fillId="3" borderId="0" xfId="1" applyNumberFormat="1" applyFont="1" applyFill="1" applyAlignment="1" applyProtection="1">
      <protection locked="0"/>
    </xf>
    <xf numFmtId="2" fontId="19" fillId="3" borderId="0" xfId="1" applyNumberFormat="1" applyFont="1" applyFill="1" applyAlignment="1" applyProtection="1">
      <alignment horizontal="right"/>
      <protection locked="0"/>
    </xf>
    <xf numFmtId="1" fontId="19" fillId="3" borderId="0" xfId="1" applyNumberFormat="1" applyFont="1" applyFill="1" applyAlignment="1" applyProtection="1">
      <alignment horizontal="left"/>
      <protection locked="0"/>
    </xf>
    <xf numFmtId="0" fontId="27" fillId="12" borderId="1" xfId="1" applyFont="1" applyFill="1" applyBorder="1" applyAlignment="1" applyProtection="1">
      <alignment horizontal="left"/>
      <protection locked="0"/>
    </xf>
    <xf numFmtId="0" fontId="27" fillId="13" borderId="1" xfId="1" applyFont="1" applyFill="1" applyBorder="1" applyAlignment="1" applyProtection="1">
      <alignment horizontal="left"/>
      <protection locked="0"/>
    </xf>
    <xf numFmtId="0" fontId="27" fillId="2" borderId="1" xfId="1" applyFont="1" applyFill="1" applyBorder="1" applyAlignment="1" applyProtection="1">
      <alignment horizontal="left"/>
      <protection locked="0"/>
    </xf>
    <xf numFmtId="0" fontId="19" fillId="3" borderId="0" xfId="1" applyFont="1" applyFill="1" applyAlignment="1" applyProtection="1">
      <protection locked="0"/>
    </xf>
    <xf numFmtId="0" fontId="28" fillId="0" borderId="12" xfId="1" applyFont="1" applyBorder="1" applyAlignment="1" applyProtection="1">
      <alignment wrapText="1"/>
      <protection locked="0"/>
    </xf>
    <xf numFmtId="0" fontId="30" fillId="0" borderId="12" xfId="1" applyFont="1" applyBorder="1" applyAlignment="1" applyProtection="1">
      <alignment wrapText="1"/>
      <protection locked="0"/>
    </xf>
    <xf numFmtId="0" fontId="30" fillId="3" borderId="12" xfId="1" applyFont="1" applyFill="1" applyBorder="1" applyAlignment="1" applyProtection="1">
      <alignment wrapText="1"/>
      <protection locked="0"/>
    </xf>
    <xf numFmtId="0" fontId="27" fillId="3" borderId="12" xfId="1" applyFont="1" applyFill="1" applyBorder="1" applyAlignment="1" applyProtection="1">
      <alignment wrapText="1"/>
      <protection locked="0"/>
    </xf>
    <xf numFmtId="0" fontId="31" fillId="3" borderId="12" xfId="2" applyFont="1" applyFill="1" applyBorder="1" applyAlignment="1" applyProtection="1">
      <alignment wrapText="1"/>
      <protection locked="0"/>
    </xf>
    <xf numFmtId="0" fontId="29" fillId="3" borderId="12" xfId="2" applyFont="1" applyFill="1" applyBorder="1" applyAlignment="1" applyProtection="1">
      <alignment wrapText="1"/>
      <protection locked="0"/>
    </xf>
    <xf numFmtId="0" fontId="27" fillId="12" borderId="12" xfId="1" applyFont="1" applyFill="1" applyBorder="1" applyAlignment="1" applyProtection="1">
      <alignment wrapText="1"/>
      <protection locked="0"/>
    </xf>
    <xf numFmtId="2" fontId="27" fillId="3" borderId="12" xfId="1" applyNumberFormat="1" applyFont="1" applyFill="1" applyBorder="1" applyAlignment="1" applyProtection="1">
      <alignment wrapText="1"/>
      <protection locked="0"/>
    </xf>
    <xf numFmtId="165" fontId="27" fillId="3" borderId="12" xfId="1" applyNumberFormat="1" applyFont="1" applyFill="1" applyBorder="1" applyAlignment="1" applyProtection="1">
      <alignment wrapText="1"/>
      <protection locked="0"/>
    </xf>
    <xf numFmtId="1" fontId="27" fillId="3" borderId="12" xfId="1" applyNumberFormat="1" applyFont="1" applyFill="1" applyBorder="1" applyAlignment="1" applyProtection="1">
      <alignment wrapText="1"/>
    </xf>
    <xf numFmtId="1" fontId="27" fillId="12" borderId="12" xfId="1" applyNumberFormat="1" applyFont="1" applyFill="1" applyBorder="1" applyAlignment="1" applyProtection="1">
      <alignment wrapText="1"/>
      <protection locked="0"/>
    </xf>
    <xf numFmtId="0" fontId="20" fillId="0" borderId="12" xfId="1" applyFont="1" applyBorder="1" applyAlignment="1" applyProtection="1">
      <alignment wrapText="1"/>
      <protection locked="0"/>
    </xf>
    <xf numFmtId="0" fontId="21" fillId="0" borderId="12" xfId="1" applyFont="1" applyBorder="1" applyProtection="1"/>
    <xf numFmtId="0" fontId="21" fillId="3" borderId="12" xfId="1" applyFont="1" applyFill="1" applyBorder="1" applyAlignment="1" applyProtection="1">
      <protection locked="0"/>
    </xf>
    <xf numFmtId="0" fontId="21" fillId="3" borderId="12" xfId="1" applyFont="1" applyFill="1" applyBorder="1" applyAlignment="1" applyProtection="1">
      <alignment horizontal="center"/>
      <protection locked="0"/>
    </xf>
    <xf numFmtId="0" fontId="19" fillId="3" borderId="12" xfId="1" applyFont="1" applyFill="1" applyBorder="1" applyAlignment="1" applyProtection="1">
      <alignment horizontal="left" indent="1"/>
      <protection locked="0"/>
    </xf>
    <xf numFmtId="0" fontId="19" fillId="12" borderId="12" xfId="1" applyFont="1" applyFill="1" applyBorder="1" applyAlignment="1" applyProtection="1">
      <alignment horizontal="center"/>
      <protection locked="0"/>
    </xf>
    <xf numFmtId="0" fontId="19" fillId="12" borderId="12" xfId="1" applyFont="1" applyFill="1" applyBorder="1" applyAlignment="1" applyProtection="1">
      <alignment horizontal="right"/>
      <protection locked="0"/>
    </xf>
    <xf numFmtId="1" fontId="19" fillId="3" borderId="12" xfId="1" applyNumberFormat="1" applyFont="1" applyFill="1" applyBorder="1" applyAlignment="1" applyProtection="1">
      <alignment horizontal="center"/>
      <protection locked="0"/>
    </xf>
    <xf numFmtId="0" fontId="19" fillId="12" borderId="12" xfId="1" applyFont="1" applyFill="1" applyBorder="1" applyAlignment="1" applyProtection="1">
      <alignment horizontal="left"/>
      <protection locked="0"/>
    </xf>
    <xf numFmtId="2" fontId="19" fillId="3" borderId="12" xfId="1" applyNumberFormat="1" applyFont="1" applyFill="1" applyBorder="1" applyAlignment="1" applyProtection="1">
      <alignment horizontal="right"/>
      <protection locked="0"/>
    </xf>
    <xf numFmtId="165" fontId="19" fillId="3" borderId="12" xfId="1" applyNumberFormat="1" applyFont="1" applyFill="1" applyBorder="1" applyAlignment="1" applyProtection="1">
      <protection locked="0"/>
    </xf>
    <xf numFmtId="0" fontId="19" fillId="3" borderId="12" xfId="1" applyFont="1" applyFill="1" applyBorder="1" applyAlignment="1" applyProtection="1">
      <alignment horizontal="right"/>
      <protection locked="0"/>
    </xf>
    <xf numFmtId="1" fontId="19" fillId="3" borderId="12" xfId="1" applyNumberFormat="1" applyFont="1" applyFill="1" applyBorder="1" applyAlignment="1" applyProtection="1">
      <alignment horizontal="center"/>
    </xf>
    <xf numFmtId="1" fontId="19" fillId="12" borderId="12" xfId="1" applyNumberFormat="1" applyFont="1" applyFill="1" applyBorder="1" applyAlignment="1" applyProtection="1">
      <alignment horizontal="left"/>
      <protection locked="0"/>
    </xf>
    <xf numFmtId="0" fontId="19" fillId="3" borderId="12" xfId="1" applyFont="1" applyFill="1" applyBorder="1" applyAlignment="1" applyProtection="1">
      <protection locked="0"/>
    </xf>
    <xf numFmtId="0" fontId="19" fillId="3" borderId="12" xfId="1" applyFont="1" applyFill="1" applyBorder="1" applyAlignment="1" applyProtection="1">
      <alignment horizontal="center"/>
      <protection locked="0"/>
    </xf>
    <xf numFmtId="0" fontId="21" fillId="3" borderId="12" xfId="1" applyFont="1" applyFill="1" applyBorder="1" applyAlignment="1" applyProtection="1">
      <alignment horizontal="center"/>
    </xf>
    <xf numFmtId="2" fontId="19" fillId="12" borderId="12" xfId="1" applyNumberFormat="1" applyFont="1" applyFill="1" applyBorder="1" applyAlignment="1" applyProtection="1">
      <alignment horizontal="right"/>
      <protection locked="0"/>
    </xf>
    <xf numFmtId="165" fontId="19" fillId="12" borderId="12" xfId="1" applyNumberFormat="1" applyFont="1" applyFill="1" applyBorder="1" applyAlignment="1" applyProtection="1">
      <protection locked="0"/>
    </xf>
    <xf numFmtId="1" fontId="19" fillId="12" borderId="12" xfId="1" applyNumberFormat="1" applyFont="1" applyFill="1" applyBorder="1" applyAlignment="1" applyProtection="1">
      <alignment horizontal="center"/>
    </xf>
    <xf numFmtId="0" fontId="24" fillId="2" borderId="12" xfId="0" applyFont="1" applyFill="1" applyBorder="1" applyAlignment="1" applyProtection="1">
      <alignment horizontal="right" wrapText="1"/>
      <protection locked="0"/>
    </xf>
    <xf numFmtId="0" fontId="24" fillId="3" borderId="12" xfId="0" applyFont="1" applyFill="1" applyBorder="1" applyAlignment="1" applyProtection="1">
      <alignment horizontal="right" wrapText="1"/>
      <protection locked="0"/>
    </xf>
    <xf numFmtId="1" fontId="24" fillId="2" borderId="12" xfId="0" applyNumberFormat="1" applyFont="1" applyFill="1" applyBorder="1" applyAlignment="1" applyProtection="1">
      <alignment horizontal="center" wrapText="1"/>
      <protection locked="0"/>
    </xf>
    <xf numFmtId="0" fontId="28" fillId="12" borderId="12" xfId="0" applyFont="1" applyFill="1" applyBorder="1" applyAlignment="1" applyProtection="1">
      <alignment horizontal="left" wrapText="1"/>
      <protection locked="0"/>
    </xf>
    <xf numFmtId="2" fontId="24" fillId="3" borderId="12" xfId="0" applyNumberFormat="1" applyFont="1" applyFill="1" applyBorder="1" applyAlignment="1" applyProtection="1">
      <alignment horizontal="right" wrapText="1"/>
      <protection locked="0"/>
    </xf>
    <xf numFmtId="165" fontId="24" fillId="3" borderId="12" xfId="0" applyNumberFormat="1" applyFont="1" applyFill="1" applyBorder="1" applyAlignment="1" applyProtection="1">
      <alignment wrapText="1"/>
      <protection locked="0"/>
    </xf>
    <xf numFmtId="0" fontId="24" fillId="12" borderId="12" xfId="0" applyFont="1" applyFill="1" applyBorder="1" applyAlignment="1" applyProtection="1">
      <alignment horizontal="left" wrapText="1"/>
      <protection locked="0"/>
    </xf>
    <xf numFmtId="2" fontId="19" fillId="13" borderId="12" xfId="0" applyNumberFormat="1" applyFont="1" applyFill="1" applyBorder="1" applyAlignment="1" applyProtection="1">
      <alignment horizontal="right"/>
    </xf>
    <xf numFmtId="1" fontId="24" fillId="3" borderId="12" xfId="0" applyNumberFormat="1" applyFont="1" applyFill="1" applyBorder="1" applyAlignment="1" applyProtection="1">
      <alignment horizontal="center" wrapText="1"/>
    </xf>
    <xf numFmtId="0" fontId="5" fillId="3" borderId="12" xfId="1" applyFont="1" applyFill="1" applyBorder="1" applyAlignment="1" applyProtection="1">
      <protection locked="0"/>
    </xf>
    <xf numFmtId="0" fontId="19" fillId="3" borderId="12" xfId="1" applyFont="1" applyFill="1" applyBorder="1" applyAlignment="1" applyProtection="1">
      <alignment horizontal="center"/>
    </xf>
    <xf numFmtId="0" fontId="27" fillId="2" borderId="12" xfId="1" applyFont="1" applyFill="1" applyBorder="1" applyAlignment="1" applyProtection="1">
      <alignment horizontal="right"/>
    </xf>
    <xf numFmtId="1" fontId="19" fillId="2" borderId="12" xfId="0" applyNumberFormat="1" applyFont="1" applyFill="1" applyBorder="1" applyAlignment="1" applyProtection="1">
      <alignment horizontal="center"/>
      <protection locked="0"/>
    </xf>
    <xf numFmtId="0" fontId="27" fillId="12" borderId="12" xfId="1" applyFont="1" applyFill="1" applyBorder="1" applyAlignment="1" applyProtection="1">
      <alignment horizontal="left"/>
      <protection locked="0"/>
    </xf>
    <xf numFmtId="2" fontId="24" fillId="13" borderId="12" xfId="0" applyNumberFormat="1" applyFont="1" applyFill="1" applyBorder="1" applyAlignment="1" applyProtection="1">
      <alignment horizontal="right" wrapText="1"/>
    </xf>
    <xf numFmtId="164" fontId="19" fillId="12" borderId="12" xfId="0" applyNumberFormat="1" applyFont="1" applyFill="1" applyBorder="1" applyAlignment="1" applyProtection="1">
      <alignment horizontal="left"/>
      <protection locked="0"/>
    </xf>
    <xf numFmtId="165" fontId="19" fillId="13" borderId="12" xfId="0" applyNumberFormat="1" applyFont="1" applyFill="1" applyBorder="1" applyAlignment="1" applyProtection="1"/>
    <xf numFmtId="2" fontId="19" fillId="12" borderId="12" xfId="0" applyNumberFormat="1" applyFont="1" applyFill="1" applyBorder="1" applyAlignment="1" applyProtection="1">
      <alignment horizontal="left"/>
      <protection locked="0"/>
    </xf>
    <xf numFmtId="1" fontId="19" fillId="3" borderId="12" xfId="0" applyNumberFormat="1" applyFont="1" applyFill="1" applyBorder="1" applyAlignment="1" applyProtection="1">
      <alignment horizontal="center"/>
    </xf>
    <xf numFmtId="1" fontId="19" fillId="12" borderId="12" xfId="0" applyNumberFormat="1" applyFont="1" applyFill="1" applyBorder="1" applyAlignment="1" applyProtection="1">
      <alignment horizontal="left"/>
      <protection locked="0"/>
    </xf>
    <xf numFmtId="0" fontId="19" fillId="12" borderId="12" xfId="1" applyFont="1" applyFill="1" applyBorder="1" applyAlignment="1" applyProtection="1">
      <alignment horizontal="right"/>
    </xf>
    <xf numFmtId="1" fontId="19" fillId="2" borderId="12" xfId="1" applyNumberFormat="1" applyFont="1" applyFill="1" applyBorder="1" applyAlignment="1" applyProtection="1">
      <alignment horizontal="center"/>
      <protection locked="0"/>
    </xf>
    <xf numFmtId="2" fontId="24" fillId="3" borderId="12" xfId="0" applyNumberFormat="1" applyFont="1" applyFill="1" applyBorder="1" applyAlignment="1" applyProtection="1">
      <alignment horizontal="right" wrapText="1"/>
    </xf>
    <xf numFmtId="165" fontId="19" fillId="3" borderId="12" xfId="0" applyNumberFormat="1" applyFont="1" applyFill="1" applyBorder="1" applyAlignment="1" applyProtection="1"/>
    <xf numFmtId="2" fontId="19" fillId="3" borderId="12" xfId="0" applyNumberFormat="1" applyFont="1" applyFill="1" applyBorder="1" applyAlignment="1" applyProtection="1">
      <alignment horizontal="right"/>
    </xf>
    <xf numFmtId="0" fontId="19" fillId="13" borderId="12" xfId="1" applyFont="1" applyFill="1" applyBorder="1" applyAlignment="1" applyProtection="1">
      <alignment horizontal="right"/>
    </xf>
    <xf numFmtId="165" fontId="19" fillId="3" borderId="12" xfId="0" applyNumberFormat="1" applyFont="1" applyFill="1" applyBorder="1" applyAlignment="1" applyProtection="1">
      <protection locked="0"/>
    </xf>
    <xf numFmtId="0" fontId="5" fillId="2" borderId="12" xfId="1" applyFont="1" applyFill="1" applyBorder="1" applyAlignment="1" applyProtection="1">
      <alignment horizontal="right"/>
    </xf>
    <xf numFmtId="165" fontId="19" fillId="12" borderId="12" xfId="0" applyNumberFormat="1" applyFont="1" applyFill="1" applyBorder="1" applyAlignment="1" applyProtection="1">
      <protection locked="0"/>
    </xf>
    <xf numFmtId="2" fontId="19" fillId="12" borderId="12" xfId="0" applyNumberFormat="1" applyFont="1" applyFill="1" applyBorder="1" applyAlignment="1" applyProtection="1">
      <alignment horizontal="right"/>
    </xf>
    <xf numFmtId="1" fontId="19" fillId="12" borderId="12" xfId="0" applyNumberFormat="1" applyFont="1" applyFill="1" applyBorder="1" applyAlignment="1" applyProtection="1">
      <alignment horizontal="center"/>
    </xf>
    <xf numFmtId="0" fontId="5" fillId="2" borderId="12" xfId="1" applyFont="1" applyFill="1" applyBorder="1" applyAlignment="1" applyProtection="1">
      <alignment horizontal="right"/>
      <protection locked="0"/>
    </xf>
    <xf numFmtId="0" fontId="19" fillId="2" borderId="12" xfId="1" applyFont="1" applyFill="1" applyBorder="1" applyAlignment="1" applyProtection="1">
      <alignment horizontal="right"/>
    </xf>
    <xf numFmtId="0" fontId="19" fillId="2" borderId="12" xfId="1" applyFont="1" applyFill="1" applyBorder="1" applyAlignment="1" applyProtection="1">
      <alignment horizontal="right"/>
      <protection locked="0"/>
    </xf>
    <xf numFmtId="0" fontId="19" fillId="13" borderId="12" xfId="1" applyFont="1" applyFill="1" applyBorder="1" applyAlignment="1" applyProtection="1">
      <alignment horizontal="right"/>
      <protection locked="0"/>
    </xf>
    <xf numFmtId="2" fontId="19" fillId="3" borderId="12" xfId="1" applyNumberFormat="1" applyFont="1" applyFill="1" applyBorder="1" applyAlignment="1" applyProtection="1">
      <alignment horizontal="right"/>
    </xf>
    <xf numFmtId="0" fontId="19" fillId="2" borderId="12" xfId="1" applyFont="1" applyFill="1" applyBorder="1" applyAlignment="1" applyProtection="1">
      <alignment horizontal="center"/>
      <protection locked="0"/>
    </xf>
    <xf numFmtId="0" fontId="19" fillId="5" borderId="12" xfId="1" applyFont="1" applyFill="1" applyBorder="1" applyAlignment="1" applyProtection="1">
      <protection locked="0"/>
    </xf>
    <xf numFmtId="2" fontId="19" fillId="13" borderId="12" xfId="1" applyNumberFormat="1" applyFont="1" applyFill="1" applyBorder="1" applyAlignment="1" applyProtection="1">
      <alignment horizontal="right"/>
      <protection locked="0"/>
    </xf>
    <xf numFmtId="0" fontId="27" fillId="2" borderId="12" xfId="1" applyFont="1" applyFill="1" applyBorder="1" applyAlignment="1" applyProtection="1">
      <alignment horizontal="right"/>
      <protection locked="0"/>
    </xf>
    <xf numFmtId="0" fontId="19" fillId="11" borderId="12" xfId="1" applyFont="1" applyFill="1" applyBorder="1" applyAlignment="1" applyProtection="1">
      <protection locked="0"/>
    </xf>
    <xf numFmtId="165" fontId="19" fillId="13" borderId="12" xfId="1" applyNumberFormat="1" applyFont="1" applyFill="1" applyBorder="1" applyAlignment="1" applyProtection="1"/>
    <xf numFmtId="165" fontId="19" fillId="3" borderId="12" xfId="1" applyNumberFormat="1" applyFont="1" applyFill="1" applyBorder="1" applyAlignment="1" applyProtection="1"/>
    <xf numFmtId="0" fontId="19" fillId="2" borderId="12" xfId="1" applyFont="1" applyFill="1" applyBorder="1" applyAlignment="1" applyProtection="1">
      <alignment horizontal="center"/>
    </xf>
    <xf numFmtId="2" fontId="19" fillId="13" borderId="12" xfId="1" applyNumberFormat="1" applyFont="1" applyFill="1" applyBorder="1" applyAlignment="1" applyProtection="1">
      <alignment horizontal="right"/>
    </xf>
    <xf numFmtId="1" fontId="19" fillId="13" borderId="12" xfId="1" applyNumberFormat="1" applyFont="1" applyFill="1" applyBorder="1" applyAlignment="1" applyProtection="1">
      <alignment horizontal="right"/>
    </xf>
    <xf numFmtId="0" fontId="25" fillId="3" borderId="12" xfId="1" applyFont="1" applyFill="1" applyBorder="1" applyAlignment="1" applyProtection="1">
      <protection locked="0"/>
    </xf>
    <xf numFmtId="0" fontId="19" fillId="12" borderId="12" xfId="1" applyFont="1" applyFill="1" applyBorder="1" applyAlignment="1" applyProtection="1">
      <alignment horizontal="center"/>
    </xf>
    <xf numFmtId="0" fontId="19" fillId="12" borderId="12" xfId="1" applyFont="1" applyFill="1" applyBorder="1" applyAlignment="1" applyProtection="1">
      <alignment horizontal="left"/>
    </xf>
    <xf numFmtId="0" fontId="23" fillId="3" borderId="12" xfId="1" applyFont="1" applyFill="1" applyBorder="1" applyAlignment="1" applyProtection="1">
      <protection locked="0"/>
    </xf>
    <xf numFmtId="0" fontId="21" fillId="2" borderId="12" xfId="1" applyFont="1" applyFill="1" applyBorder="1" applyAlignment="1" applyProtection="1">
      <alignment horizontal="center"/>
    </xf>
    <xf numFmtId="0" fontId="6" fillId="0" borderId="10" xfId="0" applyFont="1" applyBorder="1" applyAlignment="1">
      <alignment horizontal="center" vertical="center" textRotation="90"/>
    </xf>
    <xf numFmtId="0" fontId="6" fillId="0" borderId="5" xfId="0" applyFont="1" applyBorder="1" applyAlignment="1">
      <alignment horizontal="center" vertical="center" textRotation="90"/>
    </xf>
    <xf numFmtId="0" fontId="6" fillId="0" borderId="7" xfId="0" applyFont="1" applyBorder="1" applyAlignment="1">
      <alignment horizontal="center" vertical="center" textRotation="90"/>
    </xf>
    <xf numFmtId="0" fontId="6" fillId="0" borderId="5" xfId="0" applyFont="1" applyBorder="1" applyAlignment="1">
      <alignment horizontal="center" textRotation="90"/>
    </xf>
    <xf numFmtId="0" fontId="6" fillId="0" borderId="7" xfId="0" applyFont="1" applyBorder="1" applyAlignment="1">
      <alignment horizontal="center" textRotation="90"/>
    </xf>
    <xf numFmtId="0" fontId="6" fillId="0" borderId="6" xfId="0" applyFont="1" applyBorder="1" applyAlignment="1">
      <alignment horizontal="center" textRotation="90"/>
    </xf>
    <xf numFmtId="0" fontId="6" fillId="0" borderId="6" xfId="0" applyFont="1" applyBorder="1" applyAlignment="1">
      <alignment horizontal="center" vertical="center" textRotation="90"/>
    </xf>
    <xf numFmtId="0" fontId="6" fillId="0" borderId="5" xfId="0" applyFont="1" applyBorder="1" applyAlignment="1">
      <alignment horizontal="center" vertical="center" textRotation="90" wrapText="1"/>
    </xf>
    <xf numFmtId="0" fontId="6" fillId="0" borderId="7" xfId="0" applyFont="1" applyBorder="1" applyAlignment="1">
      <alignment horizontal="center" vertical="center" textRotation="90" wrapText="1"/>
    </xf>
    <xf numFmtId="0" fontId="6" fillId="0" borderId="6" xfId="0" applyFont="1" applyBorder="1" applyAlignment="1">
      <alignment horizontal="center" vertical="center" textRotation="90" wrapText="1"/>
    </xf>
    <xf numFmtId="164" fontId="0" fillId="3" borderId="5" xfId="0" applyNumberFormat="1" applyFill="1" applyBorder="1" applyAlignment="1">
      <alignment horizontal="center" wrapText="1"/>
    </xf>
    <xf numFmtId="164" fontId="0" fillId="3" borderId="7" xfId="0" applyNumberFormat="1" applyFill="1" applyBorder="1" applyAlignment="1">
      <alignment horizontal="center" wrapText="1"/>
    </xf>
    <xf numFmtId="164" fontId="0" fillId="3" borderId="6" xfId="0" applyNumberFormat="1" applyFill="1" applyBorder="1" applyAlignment="1">
      <alignment horizontal="center" wrapText="1"/>
    </xf>
    <xf numFmtId="164" fontId="0" fillId="3" borderId="8" xfId="0" applyNumberFormat="1" applyFill="1" applyBorder="1" applyAlignment="1">
      <alignment horizontal="center" vertical="center" wrapText="1"/>
    </xf>
    <xf numFmtId="164" fontId="0" fillId="3" borderId="9" xfId="0" applyNumberFormat="1" applyFill="1" applyBorder="1" applyAlignment="1">
      <alignment horizontal="center" vertical="center" wrapText="1"/>
    </xf>
    <xf numFmtId="164" fontId="0" fillId="3" borderId="5" xfId="0" applyNumberFormat="1" applyFill="1" applyBorder="1" applyAlignment="1">
      <alignment horizontal="center" vertical="center" wrapText="1"/>
    </xf>
    <xf numFmtId="164" fontId="0" fillId="3" borderId="6" xfId="0" applyNumberForma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32" fillId="2" borderId="1" xfId="0" applyFont="1" applyFill="1" applyBorder="1"/>
    <xf numFmtId="0" fontId="32" fillId="2" borderId="0" xfId="0" applyFont="1" applyFill="1" applyBorder="1"/>
    <xf numFmtId="0" fontId="33" fillId="7" borderId="1" xfId="0" applyFont="1" applyFill="1" applyBorder="1" applyAlignment="1">
      <alignment textRotation="90" wrapText="1"/>
    </xf>
    <xf numFmtId="0" fontId="34" fillId="2" borderId="0" xfId="0" applyFont="1" applyFill="1" applyBorder="1" applyAlignment="1">
      <alignment textRotation="90" wrapText="1"/>
    </xf>
    <xf numFmtId="2" fontId="32" fillId="2" borderId="1" xfId="0" applyNumberFormat="1" applyFont="1" applyFill="1" applyBorder="1" applyAlignment="1">
      <alignment horizontal="right" wrapText="1"/>
    </xf>
    <xf numFmtId="0" fontId="32" fillId="2" borderId="11" xfId="0" applyFont="1" applyFill="1" applyBorder="1" applyAlignment="1">
      <alignment horizontal="center"/>
    </xf>
    <xf numFmtId="0" fontId="32" fillId="2" borderId="11" xfId="0" applyFont="1" applyFill="1" applyBorder="1" applyAlignment="1">
      <alignment horizontal="center"/>
    </xf>
    <xf numFmtId="0" fontId="32" fillId="2" borderId="1" xfId="0" applyFont="1" applyFill="1" applyBorder="1" applyAlignment="1">
      <alignment textRotation="90" wrapText="1"/>
    </xf>
    <xf numFmtId="0" fontId="32" fillId="2" borderId="0" xfId="0" applyFont="1" applyFill="1" applyBorder="1" applyAlignment="1">
      <alignment textRotation="90"/>
    </xf>
    <xf numFmtId="164" fontId="32" fillId="2" borderId="1" xfId="0" applyNumberFormat="1" applyFont="1" applyFill="1" applyBorder="1"/>
    <xf numFmtId="2" fontId="32" fillId="2" borderId="1" xfId="0" applyNumberFormat="1" applyFont="1" applyFill="1" applyBorder="1"/>
    <xf numFmtId="0" fontId="32" fillId="2" borderId="12" xfId="0" applyFont="1" applyFill="1" applyBorder="1"/>
    <xf numFmtId="2" fontId="32" fillId="2" borderId="12" xfId="0" applyNumberFormat="1" applyFont="1" applyFill="1" applyBorder="1" applyAlignment="1">
      <alignment horizontal="right" wrapText="1"/>
    </xf>
    <xf numFmtId="0" fontId="27" fillId="13" borderId="12" xfId="1" applyFont="1" applyFill="1" applyBorder="1" applyAlignment="1" applyProtection="1">
      <alignment horizontal="right"/>
    </xf>
    <xf numFmtId="0" fontId="27" fillId="3" borderId="12" xfId="1" applyFont="1" applyFill="1" applyBorder="1" applyAlignment="1" applyProtection="1">
      <alignment horizontal="right"/>
      <protection locked="0"/>
    </xf>
    <xf numFmtId="0" fontId="19" fillId="14" borderId="13" xfId="1" applyFont="1" applyFill="1" applyBorder="1" applyAlignment="1" applyProtection="1">
      <alignment horizontal="center"/>
      <protection locked="0"/>
    </xf>
    <xf numFmtId="0" fontId="27" fillId="14" borderId="13" xfId="1" applyFont="1" applyFill="1" applyBorder="1" applyAlignment="1" applyProtection="1">
      <alignment horizontal="center"/>
      <protection locked="0"/>
    </xf>
    <xf numFmtId="0" fontId="27" fillId="15" borderId="13" xfId="1" applyFont="1" applyFill="1" applyBorder="1" applyAlignment="1" applyProtection="1">
      <alignment horizontal="center"/>
      <protection locked="0"/>
    </xf>
    <xf numFmtId="0" fontId="19" fillId="15" borderId="13" xfId="1" applyFont="1" applyFill="1" applyBorder="1" applyAlignment="1" applyProtection="1">
      <alignment horizontal="center"/>
      <protection locked="0"/>
    </xf>
    <xf numFmtId="1" fontId="19" fillId="17" borderId="13" xfId="1" applyNumberFormat="1" applyFont="1" applyFill="1" applyBorder="1" applyAlignment="1" applyProtection="1">
      <alignment horizontal="center"/>
      <protection locked="0"/>
    </xf>
    <xf numFmtId="2" fontId="19" fillId="18" borderId="13" xfId="1" applyNumberFormat="1" applyFont="1" applyFill="1" applyBorder="1" applyAlignment="1" applyProtection="1">
      <alignment horizontal="center"/>
      <protection locked="0"/>
    </xf>
    <xf numFmtId="165" fontId="19" fillId="19" borderId="13" xfId="1" applyNumberFormat="1" applyFont="1" applyFill="1" applyBorder="1" applyAlignment="1" applyProtection="1">
      <alignment horizontal="center"/>
      <protection locked="0"/>
    </xf>
    <xf numFmtId="0" fontId="19" fillId="16" borderId="13" xfId="1" applyFont="1" applyFill="1" applyBorder="1" applyAlignment="1" applyProtection="1">
      <alignment horizontal="center"/>
      <protection locked="0"/>
    </xf>
    <xf numFmtId="0" fontId="27" fillId="16" borderId="13" xfId="1" applyFont="1" applyFill="1" applyBorder="1" applyAlignment="1" applyProtection="1">
      <alignment horizontal="center"/>
      <protection locked="0"/>
    </xf>
    <xf numFmtId="165" fontId="27" fillId="19" borderId="13" xfId="1" applyNumberFormat="1" applyFont="1" applyFill="1" applyBorder="1" applyAlignment="1" applyProtection="1">
      <alignment horizontal="center"/>
      <protection locked="0"/>
    </xf>
    <xf numFmtId="2" fontId="27" fillId="18" borderId="13" xfId="1" applyNumberFormat="1" applyFont="1" applyFill="1" applyBorder="1" applyAlignment="1" applyProtection="1">
      <alignment horizontal="center"/>
      <protection locked="0"/>
    </xf>
    <xf numFmtId="1" fontId="27" fillId="17" borderId="13" xfId="1" applyNumberFormat="1" applyFont="1" applyFill="1" applyBorder="1" applyAlignment="1" applyProtection="1">
      <alignment horizontal="center"/>
      <protection locked="0"/>
    </xf>
    <xf numFmtId="0" fontId="35" fillId="13" borderId="14" xfId="0" applyFont="1" applyFill="1" applyBorder="1" applyAlignment="1">
      <alignment horizontal="center"/>
    </xf>
    <xf numFmtId="0" fontId="9" fillId="13" borderId="0" xfId="0" applyFont="1" applyFill="1" applyBorder="1"/>
    <xf numFmtId="0" fontId="35" fillId="13" borderId="0" xfId="0" applyFont="1" applyFill="1" applyBorder="1" applyAlignment="1"/>
    <xf numFmtId="0" fontId="35" fillId="13" borderId="14" xfId="0" applyFont="1" applyFill="1" applyBorder="1" applyAlignme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66FFFF"/>
      <color rgb="FF000000"/>
      <color rgb="FF00FFFF"/>
      <color rgb="FFFFFF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I18" sqref="I18"/>
    </sheetView>
  </sheetViews>
  <sheetFormatPr defaultRowHeight="14.25"/>
  <cols>
    <col min="1" max="1" width="10.796875" bestFit="1" customWidth="1"/>
    <col min="3" max="3" width="2.3984375" bestFit="1" customWidth="1"/>
    <col min="4" max="4" width="2.86328125" bestFit="1" customWidth="1"/>
    <col min="5" max="5" width="13.59765625" bestFit="1" customWidth="1"/>
    <col min="6" max="6" width="3.59765625" bestFit="1" customWidth="1"/>
    <col min="7" max="7" width="5.3984375" bestFit="1" customWidth="1"/>
    <col min="8" max="8" width="10.59765625" bestFit="1" customWidth="1"/>
    <col min="9" max="9" width="9.86328125" bestFit="1" customWidth="1"/>
    <col min="10" max="10" width="8.73046875" bestFit="1" customWidth="1"/>
  </cols>
  <sheetData>
    <row r="1" spans="1:12">
      <c r="B1" t="s">
        <v>1247</v>
      </c>
      <c r="E1" t="s">
        <v>1246</v>
      </c>
      <c r="F1" t="s">
        <v>1115</v>
      </c>
      <c r="G1" t="s">
        <v>1245</v>
      </c>
      <c r="H1" t="s">
        <v>1248</v>
      </c>
      <c r="I1" t="s">
        <v>1218</v>
      </c>
      <c r="J1" t="s">
        <v>1243</v>
      </c>
      <c r="K1" t="s">
        <v>1238</v>
      </c>
      <c r="L1" t="s">
        <v>1239</v>
      </c>
    </row>
    <row r="2" spans="1:12">
      <c r="A2" t="s">
        <v>1259</v>
      </c>
      <c r="B2">
        <v>1001</v>
      </c>
      <c r="C2" t="s">
        <v>1255</v>
      </c>
      <c r="D2" t="s">
        <v>1244</v>
      </c>
      <c r="E2" t="str">
        <f t="shared" ref="E2:E18" si="0">$A$2&amp;"-"&amp;D2</f>
        <v>4220-133-EE-A1</v>
      </c>
      <c r="F2">
        <v>2</v>
      </c>
      <c r="G2" t="s">
        <v>1220</v>
      </c>
      <c r="H2" t="s">
        <v>1251</v>
      </c>
      <c r="I2" t="s">
        <v>1219</v>
      </c>
    </row>
    <row r="3" spans="1:12">
      <c r="D3" t="s">
        <v>1211</v>
      </c>
      <c r="E3" t="str">
        <f t="shared" si="0"/>
        <v>4220-133-EE-A2</v>
      </c>
      <c r="F3">
        <v>2</v>
      </c>
      <c r="G3" t="s">
        <v>1221</v>
      </c>
      <c r="H3" t="s">
        <v>1251</v>
      </c>
      <c r="I3" t="s">
        <v>1219</v>
      </c>
    </row>
    <row r="4" spans="1:12">
      <c r="B4">
        <v>1003</v>
      </c>
      <c r="C4" t="s">
        <v>1213</v>
      </c>
      <c r="D4" t="s">
        <v>1213</v>
      </c>
      <c r="E4" t="str">
        <f t="shared" si="0"/>
        <v>4220-133-EE-B</v>
      </c>
      <c r="F4">
        <v>2</v>
      </c>
      <c r="G4" t="s">
        <v>1220</v>
      </c>
      <c r="H4" s="243" t="s">
        <v>1250</v>
      </c>
      <c r="I4" t="s">
        <v>1219</v>
      </c>
    </row>
    <row r="5" spans="1:12">
      <c r="B5">
        <v>1004</v>
      </c>
      <c r="C5" t="s">
        <v>1249</v>
      </c>
      <c r="D5" t="s">
        <v>1249</v>
      </c>
      <c r="E5" t="str">
        <f t="shared" si="0"/>
        <v>4220-133-EE-C</v>
      </c>
      <c r="F5">
        <v>1</v>
      </c>
      <c r="H5" s="243" t="s">
        <v>1250</v>
      </c>
    </row>
    <row r="6" spans="1:12">
      <c r="B6">
        <v>1006</v>
      </c>
      <c r="C6" t="s">
        <v>1212</v>
      </c>
      <c r="D6" t="s">
        <v>1212</v>
      </c>
      <c r="E6" t="str">
        <f t="shared" si="0"/>
        <v>4220-133-EE-D</v>
      </c>
      <c r="F6">
        <v>2</v>
      </c>
      <c r="G6" t="s">
        <v>1220</v>
      </c>
      <c r="H6" t="s">
        <v>1251</v>
      </c>
      <c r="I6" t="s">
        <v>1222</v>
      </c>
      <c r="J6" s="241">
        <v>43135</v>
      </c>
      <c r="K6" s="242">
        <v>0.83333333333333337</v>
      </c>
      <c r="L6" t="s">
        <v>1241</v>
      </c>
    </row>
    <row r="7" spans="1:12">
      <c r="B7">
        <v>1007</v>
      </c>
      <c r="C7" t="s">
        <v>1252</v>
      </c>
      <c r="D7" t="s">
        <v>1252</v>
      </c>
      <c r="E7" t="str">
        <f t="shared" si="0"/>
        <v>4220-133-EE-E</v>
      </c>
      <c r="F7">
        <v>2</v>
      </c>
      <c r="G7" t="s">
        <v>1220</v>
      </c>
      <c r="H7" s="243" t="s">
        <v>1250</v>
      </c>
      <c r="J7" s="241"/>
      <c r="K7" s="242"/>
    </row>
    <row r="8" spans="1:12">
      <c r="B8">
        <v>1008</v>
      </c>
      <c r="C8" t="s">
        <v>63</v>
      </c>
      <c r="D8" t="s">
        <v>63</v>
      </c>
      <c r="E8" t="str">
        <f t="shared" si="0"/>
        <v>4220-133-EE-F</v>
      </c>
      <c r="F8">
        <v>1</v>
      </c>
      <c r="H8" t="s">
        <v>1251</v>
      </c>
      <c r="I8" t="s">
        <v>1222</v>
      </c>
      <c r="J8" s="241">
        <v>43136</v>
      </c>
      <c r="K8" s="242">
        <v>0.83333333333333337</v>
      </c>
      <c r="L8" t="s">
        <v>1240</v>
      </c>
    </row>
    <row r="9" spans="1:12">
      <c r="B9">
        <v>1009</v>
      </c>
      <c r="C9" t="s">
        <v>61</v>
      </c>
      <c r="D9" t="s">
        <v>61</v>
      </c>
      <c r="E9" t="str">
        <f t="shared" si="0"/>
        <v>4220-133-EE-G</v>
      </c>
      <c r="F9">
        <v>1</v>
      </c>
      <c r="H9" t="s">
        <v>1251</v>
      </c>
      <c r="I9" s="240" t="s">
        <v>1242</v>
      </c>
      <c r="J9" s="241">
        <v>43138</v>
      </c>
      <c r="K9" s="242">
        <v>0.70833333333333337</v>
      </c>
      <c r="L9" t="s">
        <v>1240</v>
      </c>
    </row>
    <row r="10" spans="1:12">
      <c r="B10">
        <v>1010</v>
      </c>
      <c r="C10" t="s">
        <v>1217</v>
      </c>
      <c r="D10" t="s">
        <v>1217</v>
      </c>
      <c r="E10" t="str">
        <f t="shared" si="0"/>
        <v>4220-133-EE-H</v>
      </c>
      <c r="F10">
        <v>1</v>
      </c>
      <c r="H10" t="s">
        <v>1251</v>
      </c>
      <c r="I10" s="240" t="s">
        <v>1242</v>
      </c>
      <c r="J10" s="241">
        <v>43137</v>
      </c>
      <c r="K10" s="242">
        <v>0.70833333333333337</v>
      </c>
      <c r="L10" t="s">
        <v>1241</v>
      </c>
    </row>
    <row r="11" spans="1:12">
      <c r="B11">
        <v>1011</v>
      </c>
      <c r="C11" t="s">
        <v>1253</v>
      </c>
      <c r="D11" t="s">
        <v>1257</v>
      </c>
      <c r="E11" t="str">
        <f t="shared" si="0"/>
        <v>4220-133-EE-I1</v>
      </c>
      <c r="F11">
        <v>2</v>
      </c>
      <c r="G11" t="s">
        <v>1220</v>
      </c>
      <c r="H11" s="243" t="s">
        <v>1250</v>
      </c>
      <c r="I11" s="240"/>
      <c r="J11" s="241"/>
      <c r="K11" s="242"/>
    </row>
    <row r="12" spans="1:12">
      <c r="D12" t="s">
        <v>1258</v>
      </c>
      <c r="E12" t="str">
        <f t="shared" si="0"/>
        <v>4220-133-EE-I2</v>
      </c>
      <c r="F12">
        <v>2</v>
      </c>
      <c r="G12" t="s">
        <v>1221</v>
      </c>
      <c r="H12" s="243" t="s">
        <v>1250</v>
      </c>
      <c r="I12" s="240"/>
      <c r="J12" s="241"/>
      <c r="K12" s="242"/>
    </row>
    <row r="13" spans="1:12">
      <c r="B13">
        <v>1012</v>
      </c>
      <c r="C13" t="s">
        <v>1256</v>
      </c>
      <c r="D13" t="s">
        <v>1214</v>
      </c>
      <c r="E13" t="str">
        <f t="shared" si="0"/>
        <v>4220-133-EE-J1</v>
      </c>
      <c r="F13">
        <v>2</v>
      </c>
      <c r="G13" t="s">
        <v>1220</v>
      </c>
      <c r="H13" t="s">
        <v>1251</v>
      </c>
      <c r="I13" s="240" t="s">
        <v>1242</v>
      </c>
      <c r="J13" s="241">
        <v>43137</v>
      </c>
      <c r="K13" s="242">
        <v>0.70833333333333337</v>
      </c>
      <c r="L13" t="s">
        <v>1241</v>
      </c>
    </row>
    <row r="14" spans="1:12">
      <c r="D14" t="s">
        <v>1215</v>
      </c>
      <c r="E14" t="str">
        <f t="shared" si="0"/>
        <v>4220-133-EE-J2</v>
      </c>
      <c r="F14">
        <v>2</v>
      </c>
      <c r="G14" t="s">
        <v>1221</v>
      </c>
      <c r="H14" t="s">
        <v>1251</v>
      </c>
      <c r="I14" s="240" t="s">
        <v>1242</v>
      </c>
      <c r="J14" s="241">
        <v>43138</v>
      </c>
      <c r="K14" s="242">
        <v>0.70833333333333337</v>
      </c>
      <c r="L14" t="s">
        <v>1241</v>
      </c>
    </row>
    <row r="15" spans="1:12">
      <c r="B15">
        <v>1013</v>
      </c>
      <c r="C15" t="s">
        <v>1254</v>
      </c>
      <c r="D15" t="s">
        <v>1254</v>
      </c>
      <c r="E15" t="str">
        <f t="shared" si="0"/>
        <v>4220-133-EE-K</v>
      </c>
      <c r="F15">
        <v>2</v>
      </c>
      <c r="G15" t="s">
        <v>1220</v>
      </c>
      <c r="H15" s="243" t="s">
        <v>1250</v>
      </c>
      <c r="I15" s="240"/>
      <c r="J15" s="241"/>
      <c r="K15" s="242"/>
    </row>
    <row r="16" spans="1:12">
      <c r="B16">
        <v>1014</v>
      </c>
      <c r="C16" t="s">
        <v>238</v>
      </c>
      <c r="D16" t="s">
        <v>238</v>
      </c>
      <c r="E16" t="str">
        <f t="shared" si="0"/>
        <v>4220-133-EE-L</v>
      </c>
      <c r="F16">
        <v>1</v>
      </c>
      <c r="H16" t="s">
        <v>1251</v>
      </c>
      <c r="I16" s="240" t="s">
        <v>1242</v>
      </c>
      <c r="J16" s="241">
        <v>43138</v>
      </c>
      <c r="K16" s="242">
        <v>0.70833333333333337</v>
      </c>
      <c r="L16" t="s">
        <v>1241</v>
      </c>
    </row>
    <row r="17" spans="2:12">
      <c r="B17">
        <v>1015</v>
      </c>
      <c r="C17" t="s">
        <v>860</v>
      </c>
      <c r="D17" t="s">
        <v>860</v>
      </c>
      <c r="E17" t="str">
        <f t="shared" si="0"/>
        <v>4220-133-EE-M</v>
      </c>
      <c r="F17">
        <v>1</v>
      </c>
      <c r="H17" s="243" t="s">
        <v>1250</v>
      </c>
      <c r="I17" s="240"/>
      <c r="J17" s="241"/>
      <c r="K17" s="242"/>
    </row>
    <row r="18" spans="2:12">
      <c r="B18">
        <v>1011</v>
      </c>
      <c r="C18" t="s">
        <v>1216</v>
      </c>
      <c r="D18" t="s">
        <v>1216</v>
      </c>
      <c r="E18" t="str">
        <f t="shared" si="0"/>
        <v>4220-133-EE-N</v>
      </c>
      <c r="F18">
        <v>1</v>
      </c>
      <c r="H18" t="s">
        <v>1251</v>
      </c>
      <c r="I18" s="240" t="s">
        <v>1242</v>
      </c>
      <c r="J18" s="241">
        <v>43139</v>
      </c>
      <c r="K18" s="242">
        <v>0.70833333333333337</v>
      </c>
      <c r="L18" t="s">
        <v>1241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6"/>
  <sheetViews>
    <sheetView showGridLines="0" topLeftCell="A2" workbookViewId="0">
      <selection activeCell="Q3" sqref="Q3"/>
    </sheetView>
  </sheetViews>
  <sheetFormatPr defaultColWidth="9.1328125" defaultRowHeight="13.5"/>
  <cols>
    <col min="1" max="2" width="3.59765625" style="27" customWidth="1"/>
    <col min="3" max="3" width="8.3984375" style="27" customWidth="1"/>
    <col min="4" max="4" width="3.86328125" style="27" customWidth="1"/>
    <col min="5" max="5" width="7.86328125" style="27" customWidth="1"/>
    <col min="6" max="6" width="25.265625" style="27" customWidth="1"/>
    <col min="7" max="7" width="7.86328125" style="27" customWidth="1"/>
    <col min="8" max="8" width="3.86328125" style="27" customWidth="1"/>
    <col min="9" max="9" width="4.1328125" style="27" customWidth="1"/>
    <col min="10" max="11" width="7" style="27" customWidth="1"/>
    <col min="12" max="12" width="3.86328125" style="27" customWidth="1"/>
    <col min="13" max="13" width="10.265625" style="27" customWidth="1"/>
    <col min="14" max="21" width="6.265625" style="27" customWidth="1"/>
    <col min="22" max="22" width="5.1328125" style="27" customWidth="1"/>
    <col min="23" max="23" width="7.73046875" style="27" customWidth="1"/>
    <col min="24" max="16384" width="9.1328125" style="27"/>
  </cols>
  <sheetData>
    <row r="2" spans="3:23" s="26" customFormat="1" ht="133.5">
      <c r="C2" s="28" t="s">
        <v>1143</v>
      </c>
      <c r="D2" s="28" t="s">
        <v>1144</v>
      </c>
      <c r="E2" s="28" t="s">
        <v>1145</v>
      </c>
      <c r="F2" s="28" t="s">
        <v>1146</v>
      </c>
      <c r="G2" s="28"/>
      <c r="H2" s="28" t="s">
        <v>851</v>
      </c>
      <c r="I2" s="28" t="s">
        <v>2</v>
      </c>
      <c r="J2" s="28" t="s">
        <v>1147</v>
      </c>
      <c r="K2" s="28" t="s">
        <v>1148</v>
      </c>
      <c r="L2" s="28" t="s">
        <v>4</v>
      </c>
      <c r="M2" s="30" t="s">
        <v>789</v>
      </c>
      <c r="N2" s="30" t="s">
        <v>790</v>
      </c>
      <c r="O2" s="30" t="s">
        <v>1067</v>
      </c>
      <c r="P2" s="30" t="s">
        <v>1149</v>
      </c>
      <c r="Q2" s="30" t="s">
        <v>1150</v>
      </c>
      <c r="R2" s="30" t="s">
        <v>1066</v>
      </c>
      <c r="S2" s="30" t="s">
        <v>1151</v>
      </c>
      <c r="T2" s="30" t="s">
        <v>1152</v>
      </c>
      <c r="U2" s="30" t="s">
        <v>1153</v>
      </c>
      <c r="V2" s="30" t="s">
        <v>1154</v>
      </c>
      <c r="W2" s="30" t="s">
        <v>1155</v>
      </c>
    </row>
    <row r="3" spans="3:23">
      <c r="C3" s="29" t="s">
        <v>1156</v>
      </c>
      <c r="D3" s="29">
        <v>1</v>
      </c>
      <c r="E3" s="29" t="s">
        <v>1157</v>
      </c>
      <c r="F3" s="29"/>
      <c r="G3" s="29" t="s">
        <v>1158</v>
      </c>
      <c r="H3" s="29" t="s">
        <v>859</v>
      </c>
      <c r="I3" s="29">
        <v>18</v>
      </c>
      <c r="J3" s="29">
        <v>1200</v>
      </c>
      <c r="K3" s="29">
        <v>2500</v>
      </c>
      <c r="L3" s="29">
        <v>1</v>
      </c>
      <c r="M3" s="31" t="str">
        <f>IFERROR(VLOOKUP(I$3,#REF!,3,TRUE)*(($J3*3.142+$K3*2)*$L3)/1000/60,"")</f>
        <v/>
      </c>
      <c r="N3" s="31" t="str">
        <f>IFERROR(VLOOKUP($I3,#REF!,3,TRUE)*(($J3*3.142+$K3+$K3)*$L3)/1000/60,"")</f>
        <v/>
      </c>
      <c r="O3" s="31" t="str">
        <f>IFERROR(VLOOKUP(I3,#REF!,3,TRUE)*(($J3*3.142+$K3+$K3)*$L3)/1000/60,"")</f>
        <v/>
      </c>
      <c r="P3" s="31" t="str">
        <f>IFERROR(VLOOKUP($I3,#REF!,3,TRUE)*(($K3*2)*$L3)/1000/60,"")</f>
        <v/>
      </c>
      <c r="Q3" s="31" t="str">
        <f>IFERROR(VLOOKUP($I3,#REF!,3,TRUE)*(($K3*2)*$L3)/1000/60,"")</f>
        <v/>
      </c>
      <c r="R3" s="31" t="str">
        <f>IFERROR(VLOOKUP($I3,#REF!,3,TRUE)*($K3*$L3)/1000/60,"")</f>
        <v/>
      </c>
      <c r="S3" s="31" t="str">
        <f>IFERROR(VLOOKUP($I3,#REF!,3,TRUE)*($K3*$L3)/1000/60,"")</f>
        <v/>
      </c>
      <c r="T3" s="31" t="str">
        <f>IFERROR(VLOOKUP($I3,#REF!,3,TRUE)*($K3*$L3)/1000/60,"")</f>
        <v/>
      </c>
      <c r="U3" s="31">
        <f>K3/1000*45/60</f>
        <v>1.875</v>
      </c>
      <c r="V3" s="31"/>
      <c r="W3" s="31">
        <f>SUM(M3:V3)</f>
        <v>1.875</v>
      </c>
    </row>
    <row r="4" spans="3:23">
      <c r="C4" s="29" t="s">
        <v>1156</v>
      </c>
      <c r="D4" s="29">
        <v>1</v>
      </c>
      <c r="E4" s="29" t="s">
        <v>1157</v>
      </c>
      <c r="F4" s="29"/>
      <c r="G4" s="29" t="s">
        <v>1159</v>
      </c>
      <c r="H4" s="29" t="s">
        <v>859</v>
      </c>
      <c r="I4" s="29">
        <v>18</v>
      </c>
      <c r="J4" s="29">
        <v>1200</v>
      </c>
      <c r="K4" s="29">
        <v>2500</v>
      </c>
      <c r="L4" s="29">
        <v>1</v>
      </c>
      <c r="M4" s="31" t="str">
        <f>IFERROR(VLOOKUP(I$3,#REF!,3,TRUE)*(($J4*3.142+$K4*2)*$L4)/1000/60,"")</f>
        <v/>
      </c>
      <c r="N4" s="31" t="str">
        <f>IFERROR(VLOOKUP($I4,#REF!,3,TRUE)*(($J4*3.142+$K4+$K4)*$L4)/1000/60,"")</f>
        <v/>
      </c>
      <c r="O4" s="31" t="str">
        <f>IFERROR(VLOOKUP(I4,#REF!,3,TRUE)*(($J4*3.142+$K4+$K4)*$L4)/1000/60,"")</f>
        <v/>
      </c>
      <c r="P4" s="31" t="str">
        <f>IFERROR(VLOOKUP($I4,#REF!,3,TRUE)*(($K4*2)*$L4)/1000/60,"")</f>
        <v/>
      </c>
      <c r="Q4" s="31" t="str">
        <f>IFERROR(VLOOKUP($I4,#REF!,3,TRUE)*(($K4*2)*$L4)/1000/60,"")</f>
        <v/>
      </c>
      <c r="R4" s="31" t="str">
        <f>IFERROR(VLOOKUP($I4,#REF!,3,TRUE)*($K4*$L4)/1000/60,"")</f>
        <v/>
      </c>
      <c r="S4" s="31" t="str">
        <f>IFERROR(VLOOKUP($I4,#REF!,3,TRUE)*($K4*$L4)/1000/60,"")</f>
        <v/>
      </c>
      <c r="T4" s="31" t="str">
        <f>IFERROR(VLOOKUP($I4,#REF!,3,TRUE)*($K4*$L4)/1000/60,"")</f>
        <v/>
      </c>
      <c r="U4" s="31">
        <f t="shared" ref="U4:U5" si="0">K4/1000*45/60</f>
        <v>1.875</v>
      </c>
      <c r="V4" s="31"/>
      <c r="W4" s="31">
        <f t="shared" ref="W4" si="1">SUM(M4:V4)</f>
        <v>1.875</v>
      </c>
    </row>
    <row r="5" spans="3:23">
      <c r="C5" s="29" t="s">
        <v>1156</v>
      </c>
      <c r="D5" s="29">
        <v>1</v>
      </c>
      <c r="E5" s="29" t="s">
        <v>1157</v>
      </c>
      <c r="F5" s="29"/>
      <c r="G5" s="29" t="s">
        <v>1159</v>
      </c>
      <c r="H5" s="29" t="s">
        <v>859</v>
      </c>
      <c r="I5" s="29">
        <v>18</v>
      </c>
      <c r="J5" s="29">
        <v>1200</v>
      </c>
      <c r="K5" s="29">
        <v>2000</v>
      </c>
      <c r="L5" s="29">
        <v>1</v>
      </c>
      <c r="M5" s="31" t="str">
        <f>IFERROR(VLOOKUP(I$3,#REF!,3,TRUE)*(($J5*3.142+$K5*2)*$L5)/1000/60,"")</f>
        <v/>
      </c>
      <c r="N5" s="31" t="str">
        <f>IFERROR(VLOOKUP($I5,#REF!,3,TRUE)*(($J5*3.142+$K5+$K5)*$L5)/1000/60,"")</f>
        <v/>
      </c>
      <c r="O5" s="31" t="str">
        <f>IFERROR(VLOOKUP(I5,#REF!,3,TRUE)*(($J5*3.142+$K5+$K5)*$L5)/1000/60,"")</f>
        <v/>
      </c>
      <c r="P5" s="31" t="str">
        <f>IFERROR(VLOOKUP($I5,#REF!,3,TRUE)*(($K5*2)*$L5)/1000/60,"")</f>
        <v/>
      </c>
      <c r="Q5" s="31" t="str">
        <f>IFERROR(VLOOKUP($I5,#REF!,3,TRUE)*(($K5*2)*$L5)/1000/60,"")</f>
        <v/>
      </c>
      <c r="R5" s="31" t="str">
        <f>IFERROR(VLOOKUP($I5,#REF!,3,TRUE)*($K5*$L5)/1000/60,"")</f>
        <v/>
      </c>
      <c r="S5" s="31" t="str">
        <f>IFERROR(VLOOKUP($I5,#REF!,3,TRUE)*($K5*$L5)/1000/60,"")</f>
        <v/>
      </c>
      <c r="T5" s="31" t="str">
        <f>IFERROR(VLOOKUP($I5,#REF!,3,TRUE)*($K5*$L5)/1000/60,"")</f>
        <v/>
      </c>
      <c r="U5" s="31">
        <f t="shared" si="0"/>
        <v>1.5</v>
      </c>
      <c r="V5" s="31"/>
      <c r="W5" s="31">
        <f t="shared" ref="W5:W8" si="2">SUM(M5:V5)</f>
        <v>1.5</v>
      </c>
    </row>
    <row r="6" spans="3:23">
      <c r="C6" s="29" t="s">
        <v>1156</v>
      </c>
      <c r="D6" s="29">
        <v>1</v>
      </c>
      <c r="E6" s="29" t="s">
        <v>1157</v>
      </c>
      <c r="F6" s="29" t="s">
        <v>1160</v>
      </c>
      <c r="G6" s="29" t="s">
        <v>1161</v>
      </c>
      <c r="H6" s="29" t="s">
        <v>859</v>
      </c>
      <c r="I6" s="29">
        <v>18</v>
      </c>
      <c r="J6" s="29">
        <v>1200</v>
      </c>
      <c r="K6" s="29"/>
      <c r="L6" s="29">
        <v>1</v>
      </c>
      <c r="M6" s="31"/>
      <c r="N6" s="31"/>
      <c r="O6" s="31"/>
      <c r="P6" s="31" t="str">
        <f>IFERROR(VLOOKUP($I6,#REF!,4,TRUE)*($J6*3.142*2)/1000/60,"")</f>
        <v/>
      </c>
      <c r="Q6" s="31" t="str">
        <f>IFERROR(VLOOKUP($I6,#REF!,4,TRUE)*($J6*3.142*$L6)/1000/60,"")</f>
        <v/>
      </c>
      <c r="R6" s="31" t="str">
        <f>IFERROR(VLOOKUP($I6,#REF!,4,TRUE)*($J6*3.142*$L6)/1000/60,"")</f>
        <v/>
      </c>
      <c r="S6" s="31" t="str">
        <f>IFERROR(VLOOKUP($I6,#REF!,3,TRUE)*($J6*3.142*$L6)/1000/60,"")</f>
        <v/>
      </c>
      <c r="T6" s="31" t="str">
        <f>IFERROR(VLOOKUP($I6,#REF!,3,TRUE)*($J6*$L6)/1000/60,"")</f>
        <v/>
      </c>
      <c r="U6" s="31">
        <f>J6*3.142*L6/1000*45/60</f>
        <v>2.8278000000000003</v>
      </c>
      <c r="V6" s="31"/>
      <c r="W6" s="31">
        <f t="shared" si="2"/>
        <v>2.8278000000000003</v>
      </c>
    </row>
    <row r="7" spans="3:23">
      <c r="C7" s="29" t="s">
        <v>1156</v>
      </c>
      <c r="D7" s="29">
        <v>1</v>
      </c>
      <c r="E7" s="29" t="s">
        <v>1157</v>
      </c>
      <c r="F7" s="29" t="s">
        <v>1162</v>
      </c>
      <c r="G7" s="29" t="s">
        <v>1163</v>
      </c>
      <c r="H7" s="29" t="s">
        <v>859</v>
      </c>
      <c r="I7" s="29">
        <v>18</v>
      </c>
      <c r="J7" s="29">
        <v>1200</v>
      </c>
      <c r="K7" s="29"/>
      <c r="L7" s="29">
        <v>1</v>
      </c>
      <c r="M7" s="31"/>
      <c r="N7" s="31"/>
      <c r="O7" s="31"/>
      <c r="P7" s="31" t="str">
        <f>IFERROR(VLOOKUP($I7,#REF!,4,TRUE)*($J7*3.142*2)/1000/60,"")</f>
        <v/>
      </c>
      <c r="Q7" s="31" t="str">
        <f>IFERROR(VLOOKUP($I7,#REF!,4,TRUE)*($J7*3.142*$L7)/1000/60,"")</f>
        <v/>
      </c>
      <c r="R7" s="31" t="str">
        <f>IFERROR(VLOOKUP($I7,#REF!,4,TRUE)*($J7*3.142*$L7)/1000/60,"")</f>
        <v/>
      </c>
      <c r="S7" s="31" t="str">
        <f>IFERROR(VLOOKUP($I7,#REF!,3,TRUE)*($J7*3.142*$L7)/1000/60,"")</f>
        <v/>
      </c>
      <c r="T7" s="31" t="str">
        <f>IFERROR(VLOOKUP($I7,#REF!,3,TRUE)*($J7*$L7)/1000/60,"")</f>
        <v/>
      </c>
      <c r="U7" s="31">
        <f t="shared" ref="U7:U8" si="3">J7*3.142*L7/1000*45/60</f>
        <v>2.8278000000000003</v>
      </c>
      <c r="V7" s="31"/>
      <c r="W7" s="31">
        <f t="shared" si="2"/>
        <v>2.8278000000000003</v>
      </c>
    </row>
    <row r="8" spans="3:23">
      <c r="C8" s="29" t="s">
        <v>1156</v>
      </c>
      <c r="D8" s="29">
        <v>1</v>
      </c>
      <c r="E8" s="29" t="s">
        <v>1157</v>
      </c>
      <c r="F8" s="29" t="s">
        <v>1164</v>
      </c>
      <c r="G8" s="29" t="s">
        <v>1165</v>
      </c>
      <c r="H8" s="29" t="s">
        <v>859</v>
      </c>
      <c r="I8" s="29">
        <v>18</v>
      </c>
      <c r="J8" s="29">
        <v>1200</v>
      </c>
      <c r="K8" s="29"/>
      <c r="L8" s="29">
        <v>1</v>
      </c>
      <c r="M8" s="31"/>
      <c r="N8" s="31"/>
      <c r="O8" s="31"/>
      <c r="P8" s="31" t="str">
        <f>IFERROR(VLOOKUP($I8,#REF!,4,TRUE)*($J8*3.142*2)/1000/60,"")</f>
        <v/>
      </c>
      <c r="Q8" s="31" t="str">
        <f>IFERROR(VLOOKUP($I8,#REF!,4,TRUE)*($J8*3.142*$L8)/1000/60,"")</f>
        <v/>
      </c>
      <c r="R8" s="31" t="str">
        <f>IFERROR(VLOOKUP($I8,#REF!,4,TRUE)*($J8*3.142*$L8)/1000/60,"")</f>
        <v/>
      </c>
      <c r="S8" s="31" t="str">
        <f>IFERROR(VLOOKUP($I8,#REF!,3,TRUE)*($J8*3.142*$L8)/1000/60,"")</f>
        <v/>
      </c>
      <c r="T8" s="31" t="str">
        <f>IFERROR(VLOOKUP($I8,#REF!,3,TRUE)*($J8*$L8)/1000/60,"")</f>
        <v/>
      </c>
      <c r="U8" s="31">
        <f t="shared" si="3"/>
        <v>2.8278000000000003</v>
      </c>
      <c r="V8" s="31"/>
      <c r="W8" s="31">
        <f t="shared" si="2"/>
        <v>2.8278000000000003</v>
      </c>
    </row>
    <row r="9" spans="3:23">
      <c r="C9" s="29" t="s">
        <v>1156</v>
      </c>
      <c r="D9" s="29">
        <v>1</v>
      </c>
      <c r="E9" s="29" t="s">
        <v>1157</v>
      </c>
      <c r="F9" s="29" t="s">
        <v>1166</v>
      </c>
      <c r="G9" s="29"/>
      <c r="H9" s="29"/>
      <c r="I9" s="29">
        <v>18</v>
      </c>
      <c r="J9" s="29">
        <v>1200</v>
      </c>
      <c r="K9" s="29"/>
      <c r="L9" s="29"/>
      <c r="M9" s="31">
        <v>2</v>
      </c>
      <c r="N9" s="31">
        <v>2</v>
      </c>
      <c r="O9" s="31"/>
      <c r="P9" s="31"/>
      <c r="Q9" s="31"/>
      <c r="R9" s="31"/>
      <c r="S9" s="31"/>
      <c r="T9" s="31"/>
      <c r="U9" s="31"/>
      <c r="V9" s="31"/>
      <c r="W9" s="31"/>
    </row>
    <row r="10" spans="3:23"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</row>
    <row r="11" spans="3:23"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3:23"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</row>
    <row r="14" spans="3:23">
      <c r="Q14" s="32"/>
      <c r="R14" s="32"/>
      <c r="S14" s="32"/>
      <c r="T14" s="32"/>
      <c r="U14" s="32"/>
    </row>
    <row r="15" spans="3:23">
      <c r="M15" s="32">
        <f>SUM(M3:M14)</f>
        <v>2</v>
      </c>
      <c r="N15" s="32">
        <f>SUM(N3:N14)</f>
        <v>2</v>
      </c>
      <c r="O15" s="32">
        <f>SUM(O3:O14)</f>
        <v>0</v>
      </c>
      <c r="P15" s="32">
        <f>SUM(P3:P14)</f>
        <v>0</v>
      </c>
      <c r="Q15" s="32">
        <f t="shared" ref="Q15:U15" si="4">SUM(Q3:Q14)</f>
        <v>0</v>
      </c>
      <c r="R15" s="32">
        <f t="shared" si="4"/>
        <v>0</v>
      </c>
      <c r="S15" s="32">
        <f t="shared" si="4"/>
        <v>0</v>
      </c>
      <c r="T15" s="32">
        <f t="shared" si="4"/>
        <v>0</v>
      </c>
      <c r="U15" s="32">
        <f t="shared" si="4"/>
        <v>13.7334</v>
      </c>
    </row>
    <row r="16" spans="3:23">
      <c r="M16" s="32"/>
    </row>
  </sheetData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/>
  <sheetData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48"/>
  <sheetViews>
    <sheetView showFormulas="1" showGridLines="0" topLeftCell="A34" workbookViewId="0">
      <selection activeCell="C54" sqref="C54"/>
    </sheetView>
  </sheetViews>
  <sheetFormatPr defaultColWidth="9.1328125" defaultRowHeight="14.25"/>
  <cols>
    <col min="1" max="1" width="9.1328125" style="3"/>
    <col min="2" max="2" width="5.1328125" style="3" customWidth="1"/>
    <col min="3" max="3" width="3.86328125" style="3" customWidth="1"/>
    <col min="4" max="4" width="6.3984375" style="3" customWidth="1"/>
    <col min="5" max="5" width="10" style="3" customWidth="1"/>
    <col min="6" max="6" width="8.86328125" style="3" customWidth="1"/>
    <col min="7" max="7" width="11.59765625" style="2" customWidth="1"/>
    <col min="8" max="8" width="11" style="3" customWidth="1"/>
    <col min="9" max="9" width="11.86328125" style="4" customWidth="1"/>
    <col min="10" max="16384" width="9.1328125" style="3"/>
  </cols>
  <sheetData>
    <row r="3" spans="2:9">
      <c r="B3" s="5" t="s">
        <v>1157</v>
      </c>
      <c r="C3" s="6"/>
      <c r="D3" s="6"/>
      <c r="E3" s="6"/>
      <c r="F3" s="6"/>
      <c r="G3" s="6"/>
      <c r="H3" s="6"/>
      <c r="I3" s="6"/>
    </row>
    <row r="4" spans="2:9">
      <c r="B4" s="6"/>
      <c r="C4" s="6"/>
      <c r="D4" s="6"/>
      <c r="E4" s="6"/>
      <c r="F4" s="6"/>
      <c r="G4" s="6" t="s">
        <v>790</v>
      </c>
      <c r="H4" s="6" t="s">
        <v>799</v>
      </c>
      <c r="I4" s="6" t="s">
        <v>1189</v>
      </c>
    </row>
    <row r="5" spans="2:9">
      <c r="B5" s="6"/>
      <c r="C5" s="6" t="s">
        <v>37</v>
      </c>
      <c r="D5" s="6" t="s">
        <v>1190</v>
      </c>
      <c r="E5" s="6" t="s">
        <v>1148</v>
      </c>
      <c r="F5" s="6" t="s">
        <v>53</v>
      </c>
      <c r="G5" s="6" t="s">
        <v>53</v>
      </c>
      <c r="H5" s="6" t="s">
        <v>53</v>
      </c>
      <c r="I5" s="6" t="s">
        <v>53</v>
      </c>
    </row>
    <row r="6" spans="2:9">
      <c r="B6" s="6" t="s">
        <v>1191</v>
      </c>
      <c r="C6" s="6">
        <v>12</v>
      </c>
      <c r="D6" s="6">
        <v>625</v>
      </c>
      <c r="E6" s="6">
        <v>2500</v>
      </c>
      <c r="F6" s="7">
        <f>(C6+D6)*3.142*2/1000+E6*2/1000</f>
        <v>9.0029079999999997</v>
      </c>
      <c r="G6" s="7">
        <f>(C6+D6)*3.142*2/1000+E6*2/1000</f>
        <v>9.0029079999999997</v>
      </c>
      <c r="H6" s="7">
        <f>E6*0.001</f>
        <v>2.5</v>
      </c>
      <c r="I6" s="7">
        <f>(C6+D6)*3.142/1000</f>
        <v>2.0014539999999998</v>
      </c>
    </row>
    <row r="7" spans="2:9">
      <c r="B7" s="6" t="s">
        <v>1192</v>
      </c>
      <c r="C7" s="6">
        <v>12</v>
      </c>
      <c r="D7" s="6">
        <v>625</v>
      </c>
      <c r="E7" s="6">
        <v>2000</v>
      </c>
      <c r="F7" s="7">
        <f t="shared" ref="F7:F8" si="0">(C7+D7)*3.142*2/1000+E7*2/1000</f>
        <v>8.0029079999999997</v>
      </c>
      <c r="G7" s="7">
        <f t="shared" ref="G7:G8" si="1">(C7+D7)*3.142*2/1000+E7*2/1000</f>
        <v>8.0029079999999997</v>
      </c>
      <c r="H7" s="7">
        <f t="shared" ref="H7:H8" si="2">E7*0.001</f>
        <v>2</v>
      </c>
      <c r="I7" s="7">
        <f t="shared" ref="I7:I9" si="3">(C7+D7)*3.142/1000</f>
        <v>2.0014539999999998</v>
      </c>
    </row>
    <row r="8" spans="2:9">
      <c r="B8" s="6" t="s">
        <v>1193</v>
      </c>
      <c r="C8" s="6">
        <v>12</v>
      </c>
      <c r="D8" s="6">
        <v>625</v>
      </c>
      <c r="E8" s="6">
        <v>1000</v>
      </c>
      <c r="F8" s="7">
        <f t="shared" si="0"/>
        <v>6.0029079999999997</v>
      </c>
      <c r="G8" s="7">
        <f t="shared" si="1"/>
        <v>6.0029079999999997</v>
      </c>
      <c r="H8" s="7">
        <f t="shared" si="2"/>
        <v>1</v>
      </c>
      <c r="I8" s="7">
        <f t="shared" si="3"/>
        <v>2.0014539999999998</v>
      </c>
    </row>
    <row r="9" spans="2:9">
      <c r="B9" s="6" t="s">
        <v>1194</v>
      </c>
      <c r="C9" s="6"/>
      <c r="D9" s="6"/>
      <c r="E9" s="6"/>
      <c r="F9" s="6"/>
      <c r="G9" s="6"/>
      <c r="H9" s="6"/>
      <c r="I9" s="7">
        <f t="shared" si="3"/>
        <v>0</v>
      </c>
    </row>
    <row r="11" spans="2:9">
      <c r="B11" s="5" t="s">
        <v>1195</v>
      </c>
      <c r="C11" s="6"/>
      <c r="D11" s="6"/>
      <c r="E11" s="6"/>
      <c r="F11" s="6"/>
      <c r="G11" s="6"/>
      <c r="H11" s="6"/>
      <c r="I11" s="6"/>
    </row>
    <row r="12" spans="2:9">
      <c r="B12" s="6"/>
      <c r="C12" s="6"/>
      <c r="D12" s="6"/>
      <c r="E12" s="6"/>
      <c r="F12" s="6"/>
      <c r="G12" s="6" t="s">
        <v>790</v>
      </c>
      <c r="H12" s="6" t="s">
        <v>799</v>
      </c>
      <c r="I12" s="6" t="s">
        <v>1189</v>
      </c>
    </row>
    <row r="13" spans="2:9">
      <c r="B13" s="6"/>
      <c r="C13" s="6" t="s">
        <v>37</v>
      </c>
      <c r="D13" s="6" t="s">
        <v>1190</v>
      </c>
      <c r="E13" s="6" t="s">
        <v>1148</v>
      </c>
      <c r="F13" s="6" t="s">
        <v>53</v>
      </c>
      <c r="G13" s="6" t="s">
        <v>53</v>
      </c>
      <c r="H13" s="6" t="s">
        <v>53</v>
      </c>
      <c r="I13" s="6" t="s">
        <v>53</v>
      </c>
    </row>
    <row r="14" spans="2:9">
      <c r="B14" s="6" t="s">
        <v>1191</v>
      </c>
      <c r="C14" s="6">
        <v>12</v>
      </c>
      <c r="D14" s="6">
        <v>625</v>
      </c>
      <c r="E14" s="6">
        <v>512</v>
      </c>
      <c r="F14" s="7">
        <f>(C14+D14)*3.142*2/1000+E14*2/1000</f>
        <v>5.0269079999999997</v>
      </c>
      <c r="G14" s="7">
        <f>(C14+D14)*3.142*2/1000+E14*2/1000</f>
        <v>5.0269079999999997</v>
      </c>
      <c r="H14" s="7">
        <f>E14*0.001</f>
        <v>0.51200000000000001</v>
      </c>
      <c r="I14" s="7">
        <f>(C14+D14)*3.142/1000</f>
        <v>2.0014539999999998</v>
      </c>
    </row>
    <row r="16" spans="2:9">
      <c r="B16" s="5" t="s">
        <v>1196</v>
      </c>
      <c r="C16" s="6"/>
      <c r="D16" s="6"/>
      <c r="E16" s="6"/>
      <c r="F16" s="6"/>
      <c r="G16" s="6"/>
      <c r="H16" s="6"/>
      <c r="I16" s="6"/>
    </row>
    <row r="17" spans="2:9">
      <c r="B17" s="6"/>
      <c r="C17" s="6"/>
      <c r="D17" s="6"/>
      <c r="E17" s="6"/>
      <c r="F17" s="6"/>
      <c r="G17" s="6" t="s">
        <v>790</v>
      </c>
      <c r="H17" s="6" t="s">
        <v>799</v>
      </c>
      <c r="I17" s="6" t="s">
        <v>1189</v>
      </c>
    </row>
    <row r="18" spans="2:9">
      <c r="B18" s="6"/>
      <c r="C18" s="6" t="s">
        <v>37</v>
      </c>
      <c r="D18" s="6" t="s">
        <v>1190</v>
      </c>
      <c r="E18" s="6" t="s">
        <v>1148</v>
      </c>
      <c r="F18" s="6" t="s">
        <v>53</v>
      </c>
      <c r="G18" s="6" t="s">
        <v>53</v>
      </c>
      <c r="H18" s="6" t="s">
        <v>53</v>
      </c>
      <c r="I18" s="6" t="s">
        <v>53</v>
      </c>
    </row>
    <row r="19" spans="2:9">
      <c r="B19" s="6" t="s">
        <v>1191</v>
      </c>
      <c r="C19" s="6">
        <v>12</v>
      </c>
      <c r="D19" s="6">
        <v>740</v>
      </c>
      <c r="E19" s="6">
        <v>352</v>
      </c>
      <c r="F19" s="7">
        <f>(C19+D19)*3.142*2/1000+E19*2/1000</f>
        <v>5.4295679999999997</v>
      </c>
      <c r="G19" s="7">
        <f>(C19+D19)*3.142*2/1000+E19*2/1000</f>
        <v>5.4295679999999997</v>
      </c>
      <c r="H19" s="7">
        <f>E19*0.001</f>
        <v>0.35199999999999998</v>
      </c>
      <c r="I19" s="7">
        <f>(C19+D19)*3.142/1000</f>
        <v>2.362784</v>
      </c>
    </row>
    <row r="21" spans="2:9">
      <c r="B21" s="5" t="s">
        <v>1197</v>
      </c>
      <c r="C21" s="6"/>
      <c r="D21" s="6"/>
      <c r="E21" s="6"/>
      <c r="F21" s="6"/>
      <c r="G21" s="6"/>
      <c r="H21" s="6"/>
      <c r="I21" s="6"/>
    </row>
    <row r="22" spans="2:9">
      <c r="B22" s="6"/>
      <c r="C22" s="6"/>
      <c r="D22" s="6"/>
      <c r="E22" s="6"/>
      <c r="F22" s="6" t="s">
        <v>1198</v>
      </c>
      <c r="G22" s="6" t="s">
        <v>790</v>
      </c>
      <c r="H22" s="6"/>
      <c r="I22" s="6"/>
    </row>
    <row r="23" spans="2:9">
      <c r="B23" s="6"/>
      <c r="C23" s="6" t="s">
        <v>37</v>
      </c>
      <c r="D23" s="6" t="s">
        <v>1190</v>
      </c>
      <c r="E23" s="6" t="s">
        <v>1171</v>
      </c>
      <c r="F23" s="8" t="s">
        <v>1199</v>
      </c>
      <c r="G23" s="6" t="s">
        <v>53</v>
      </c>
      <c r="H23" s="6"/>
      <c r="I23" s="6"/>
    </row>
    <row r="24" spans="2:9">
      <c r="B24" s="6"/>
      <c r="C24" s="6">
        <v>12</v>
      </c>
      <c r="D24" s="6">
        <v>740</v>
      </c>
      <c r="E24" s="9">
        <v>8.4027777777777798E-2</v>
      </c>
      <c r="F24" s="7">
        <f>(C24+D24)*1.25/1000</f>
        <v>0.94</v>
      </c>
      <c r="G24" s="7">
        <f>F24*3.142</f>
        <v>2.9534799999999999</v>
      </c>
      <c r="H24" s="7"/>
      <c r="I24" s="7"/>
    </row>
    <row r="26" spans="2:9" s="2" customFormat="1">
      <c r="B26" s="351" t="s">
        <v>1200</v>
      </c>
      <c r="C26" s="352"/>
      <c r="D26" s="352"/>
      <c r="E26" s="352"/>
      <c r="F26" s="352"/>
      <c r="G26" s="353"/>
      <c r="I26" s="18"/>
    </row>
    <row r="27" spans="2:9" s="2" customFormat="1">
      <c r="B27" s="6"/>
      <c r="C27" s="6" t="s">
        <v>1112</v>
      </c>
      <c r="D27" s="6" t="s">
        <v>1201</v>
      </c>
      <c r="E27" s="6" t="s">
        <v>1202</v>
      </c>
      <c r="F27" s="6" t="s">
        <v>1115</v>
      </c>
      <c r="G27" s="8" t="s">
        <v>1203</v>
      </c>
      <c r="H27" s="10" t="s">
        <v>1204</v>
      </c>
      <c r="I27" s="18"/>
    </row>
    <row r="28" spans="2:9">
      <c r="B28" s="6" t="s">
        <v>1205</v>
      </c>
      <c r="C28" s="6"/>
      <c r="D28" s="11"/>
      <c r="E28" s="11"/>
      <c r="F28" s="11">
        <v>1</v>
      </c>
      <c r="G28" s="12">
        <f>(D28*2+E28*2)*F28/1000</f>
        <v>0</v>
      </c>
      <c r="H28" s="344">
        <f>E28*2/1000*F28</f>
        <v>0</v>
      </c>
      <c r="I28" s="347">
        <f>H28*F33</f>
        <v>0</v>
      </c>
    </row>
    <row r="29" spans="2:9">
      <c r="B29" s="6" t="s">
        <v>1206</v>
      </c>
      <c r="C29" s="6"/>
      <c r="D29" s="11"/>
      <c r="E29" s="11"/>
      <c r="F29" s="11">
        <v>1</v>
      </c>
      <c r="G29" s="12">
        <f>(D29*2+E29*2+1656*3.142*360^-1*120)*F29/1000</f>
        <v>1.7343839999999999</v>
      </c>
      <c r="H29" s="346"/>
      <c r="I29" s="348"/>
    </row>
    <row r="30" spans="2:9">
      <c r="B30" s="6" t="s">
        <v>1207</v>
      </c>
      <c r="C30" s="6"/>
      <c r="D30" s="11"/>
      <c r="E30" s="11"/>
      <c r="F30" s="11">
        <v>4</v>
      </c>
      <c r="G30" s="12">
        <f>(D30*2+E30*2)*F30/1000</f>
        <v>0</v>
      </c>
      <c r="H30" s="13">
        <f>(D30*2+E30*2)/1000*F30</f>
        <v>0</v>
      </c>
      <c r="I30" s="349">
        <f>(H30+H31)*F33</f>
        <v>0</v>
      </c>
    </row>
    <row r="31" spans="2:9">
      <c r="B31" s="6" t="s">
        <v>1207</v>
      </c>
      <c r="C31" s="6"/>
      <c r="D31" s="11"/>
      <c r="E31" s="11"/>
      <c r="F31" s="11">
        <v>4</v>
      </c>
      <c r="G31" s="12">
        <f>(D31*2+E31*2)*F31/1000</f>
        <v>0</v>
      </c>
      <c r="H31" s="13">
        <f>(D31*2+E31*2)/1000*F31</f>
        <v>0</v>
      </c>
      <c r="I31" s="350"/>
    </row>
    <row r="32" spans="2:9">
      <c r="B32" s="11"/>
      <c r="C32" s="11"/>
      <c r="D32" s="11"/>
      <c r="E32" s="11"/>
      <c r="F32" s="11"/>
      <c r="G32" s="12">
        <f>SUM(G28:G31)</f>
        <v>1.7343839999999999</v>
      </c>
      <c r="H32" s="12"/>
      <c r="I32" s="13">
        <f>SUM(I28:I31)</f>
        <v>0</v>
      </c>
    </row>
    <row r="33" spans="2:9">
      <c r="B33" s="14"/>
      <c r="C33" s="14"/>
      <c r="D33" s="14"/>
      <c r="E33" s="15" t="s">
        <v>1208</v>
      </c>
      <c r="F33" s="14">
        <v>2</v>
      </c>
      <c r="G33" s="16">
        <f>G32*F33</f>
        <v>3.4687679999999999</v>
      </c>
      <c r="I33" s="17">
        <f>SUM(I32)</f>
        <v>0</v>
      </c>
    </row>
    <row r="34" spans="2:9">
      <c r="B34" s="14"/>
      <c r="C34" s="14"/>
      <c r="D34" s="14"/>
      <c r="E34" s="14"/>
      <c r="F34" s="14"/>
      <c r="G34" s="16"/>
    </row>
    <row r="37" spans="2:9" s="2" customFormat="1">
      <c r="B37" s="351" t="s">
        <v>1209</v>
      </c>
      <c r="C37" s="352"/>
      <c r="D37" s="352"/>
      <c r="E37" s="352"/>
      <c r="F37" s="352"/>
      <c r="G37" s="353"/>
      <c r="I37" s="18"/>
    </row>
    <row r="38" spans="2:9" s="2" customFormat="1">
      <c r="B38" s="6"/>
      <c r="C38" s="6" t="s">
        <v>1112</v>
      </c>
      <c r="D38" s="6" t="s">
        <v>1201</v>
      </c>
      <c r="E38" s="6" t="s">
        <v>1202</v>
      </c>
      <c r="F38" s="6" t="s">
        <v>1115</v>
      </c>
      <c r="G38" s="8" t="s">
        <v>1203</v>
      </c>
      <c r="H38" s="10" t="s">
        <v>1066</v>
      </c>
      <c r="I38" s="18"/>
    </row>
    <row r="39" spans="2:9">
      <c r="B39" s="6" t="s">
        <v>1205</v>
      </c>
      <c r="C39" s="6">
        <v>16</v>
      </c>
      <c r="D39" s="11">
        <v>150</v>
      </c>
      <c r="E39" s="11">
        <v>510</v>
      </c>
      <c r="F39" s="11">
        <v>1</v>
      </c>
      <c r="G39" s="12">
        <f>(D39*2+E39*2)*F39/1000</f>
        <v>1.32</v>
      </c>
      <c r="H39" s="344">
        <f>(E39*4+E41*4)/1000*F47</f>
        <v>4.08</v>
      </c>
      <c r="I39" s="12"/>
    </row>
    <row r="40" spans="2:9">
      <c r="B40" s="6" t="s">
        <v>1206</v>
      </c>
      <c r="C40" s="6">
        <v>12</v>
      </c>
      <c r="D40" s="11">
        <v>234</v>
      </c>
      <c r="E40" s="11">
        <v>490</v>
      </c>
      <c r="F40" s="11">
        <v>1</v>
      </c>
      <c r="G40" s="12">
        <f t="shared" ref="G40:G45" si="4">(D40*2+E40*2)*F40/1000</f>
        <v>1.448</v>
      </c>
      <c r="H40" s="345"/>
      <c r="I40" s="12"/>
    </row>
    <row r="41" spans="2:9">
      <c r="B41" s="6" t="s">
        <v>1210</v>
      </c>
      <c r="C41" s="6"/>
      <c r="D41" s="11"/>
      <c r="E41" s="11"/>
      <c r="F41" s="11">
        <v>1</v>
      </c>
      <c r="G41" s="12">
        <f t="shared" si="4"/>
        <v>0</v>
      </c>
      <c r="H41" s="346"/>
      <c r="I41" s="12"/>
    </row>
    <row r="42" spans="2:9">
      <c r="B42" s="6" t="s">
        <v>1207</v>
      </c>
      <c r="C42" s="6">
        <v>12</v>
      </c>
      <c r="D42" s="11">
        <v>122</v>
      </c>
      <c r="E42" s="11">
        <v>172</v>
      </c>
      <c r="F42" s="11">
        <v>4</v>
      </c>
      <c r="G42" s="12">
        <f t="shared" si="4"/>
        <v>2.3519999999999999</v>
      </c>
      <c r="H42" s="344">
        <f>((D42*2+E42*2)*F42+(D43*2+E43*2)*F43+(D44*2+E44*2)*F44+(D45*2+E45*2)*F45)/1000*F47</f>
        <v>9.4079999999999995</v>
      </c>
      <c r="I42" s="12"/>
    </row>
    <row r="43" spans="2:9">
      <c r="B43" s="6" t="s">
        <v>1207</v>
      </c>
      <c r="C43" s="6">
        <v>12</v>
      </c>
      <c r="D43" s="11">
        <v>122</v>
      </c>
      <c r="E43" s="11">
        <v>172</v>
      </c>
      <c r="F43" s="11">
        <v>4</v>
      </c>
      <c r="G43" s="12">
        <f t="shared" si="4"/>
        <v>2.3519999999999999</v>
      </c>
      <c r="H43" s="345"/>
      <c r="I43" s="12"/>
    </row>
    <row r="44" spans="2:9">
      <c r="B44" s="6" t="s">
        <v>1207</v>
      </c>
      <c r="C44" s="6"/>
      <c r="D44" s="11"/>
      <c r="E44" s="11"/>
      <c r="F44" s="11">
        <v>4</v>
      </c>
      <c r="G44" s="12">
        <f t="shared" si="4"/>
        <v>0</v>
      </c>
      <c r="H44" s="345"/>
      <c r="I44" s="12"/>
    </row>
    <row r="45" spans="2:9">
      <c r="B45" s="6" t="s">
        <v>1207</v>
      </c>
      <c r="C45" s="6"/>
      <c r="D45" s="11"/>
      <c r="E45" s="11"/>
      <c r="F45" s="11">
        <v>4</v>
      </c>
      <c r="G45" s="12">
        <f t="shared" si="4"/>
        <v>0</v>
      </c>
      <c r="H45" s="345"/>
      <c r="I45" s="12"/>
    </row>
    <row r="46" spans="2:9">
      <c r="B46" s="11"/>
      <c r="C46" s="11"/>
      <c r="D46" s="11"/>
      <c r="E46" s="11"/>
      <c r="F46" s="11"/>
      <c r="G46" s="12">
        <f>SUM(G39:G45)</f>
        <v>7.4719999999999995</v>
      </c>
      <c r="H46" s="346"/>
      <c r="I46" s="12"/>
    </row>
    <row r="47" spans="2:9">
      <c r="B47" s="14"/>
      <c r="C47" s="14"/>
      <c r="D47" s="14"/>
      <c r="E47" s="15" t="s">
        <v>1208</v>
      </c>
      <c r="F47" s="14">
        <v>2</v>
      </c>
      <c r="G47" s="16">
        <f>G46*F47</f>
        <v>14.943999999999999</v>
      </c>
      <c r="H47" s="17">
        <f>SUM(H39:H46)</f>
        <v>13.488</v>
      </c>
      <c r="I47" s="17"/>
    </row>
    <row r="48" spans="2:9">
      <c r="G48" s="3"/>
      <c r="I48" s="3"/>
    </row>
  </sheetData>
  <mergeCells count="7">
    <mergeCell ref="H39:H41"/>
    <mergeCell ref="H42:H46"/>
    <mergeCell ref="I28:I29"/>
    <mergeCell ref="I30:I31"/>
    <mergeCell ref="B26:G26"/>
    <mergeCell ref="B37:G37"/>
    <mergeCell ref="H28:H29"/>
  </mergeCell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4.25"/>
  <cols>
    <col min="1" max="1" width="49.265625" customWidth="1"/>
  </cols>
  <sheetData>
    <row r="1" spans="1:1">
      <c r="A1" s="248" t="s">
        <v>1276</v>
      </c>
    </row>
    <row r="2" spans="1:1">
      <c r="A2" s="249" t="s">
        <v>1277</v>
      </c>
    </row>
    <row r="3" spans="1:1">
      <c r="A3" s="250" t="s">
        <v>1278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89"/>
  <sheetViews>
    <sheetView showGridLines="0" topLeftCell="H1" zoomScale="90" zoomScaleNormal="90" workbookViewId="0">
      <pane ySplit="2" topLeftCell="A21" activePane="bottomLeft" state="frozen"/>
      <selection activeCell="B1" sqref="B1"/>
      <selection pane="bottomLeft" activeCell="Q31" sqref="Q31"/>
    </sheetView>
  </sheetViews>
  <sheetFormatPr defaultColWidth="9" defaultRowHeight="20.25" customHeight="1"/>
  <cols>
    <col min="1" max="2" width="5.59765625" style="173" customWidth="1"/>
    <col min="3" max="3" width="5.86328125" style="174" customWidth="1"/>
    <col min="4" max="4" width="25.46484375" style="251" customWidth="1"/>
    <col min="5" max="5" width="11.53125" style="176" bestFit="1" customWidth="1"/>
    <col min="6" max="6" width="11.86328125" style="177" customWidth="1"/>
    <col min="7" max="7" width="7.3984375" style="177" customWidth="1"/>
    <col min="8" max="9" width="8.06640625" style="178" customWidth="1"/>
    <col min="10" max="10" width="6.796875" style="244" customWidth="1"/>
    <col min="11" max="11" width="7.9296875" style="244" bestFit="1" customWidth="1"/>
    <col min="12" max="12" width="11.1328125" style="244" bestFit="1" customWidth="1"/>
    <col min="13" max="13" width="5.73046875" style="179" customWidth="1"/>
    <col min="14" max="14" width="6" style="175" customWidth="1"/>
    <col min="15" max="15" width="8.86328125" style="246" customWidth="1"/>
    <col min="16" max="16" width="7.265625" style="175" customWidth="1"/>
    <col min="17" max="17" width="5.9296875" style="245" bestFit="1" customWidth="1"/>
    <col min="18" max="18" width="6.3984375" style="175" customWidth="1"/>
    <col min="19" max="19" width="8.86328125" style="244" customWidth="1"/>
    <col min="20" max="20" width="5.46484375" style="182" customWidth="1"/>
    <col min="21" max="21" width="9" style="246" bestFit="1" customWidth="1"/>
    <col min="22" max="22" width="5.1328125" style="247" customWidth="1"/>
    <col min="23" max="16384" width="9" style="184"/>
  </cols>
  <sheetData>
    <row r="1" spans="1:23" ht="20.25" customHeight="1">
      <c r="H1" s="370" t="s">
        <v>1279</v>
      </c>
      <c r="I1" s="369"/>
      <c r="J1" s="371" t="s">
        <v>1268</v>
      </c>
      <c r="K1" s="372"/>
      <c r="L1" s="372"/>
      <c r="M1" s="380" t="s">
        <v>1115</v>
      </c>
      <c r="N1" s="373"/>
      <c r="O1" s="379" t="s">
        <v>1851</v>
      </c>
      <c r="P1" s="374"/>
      <c r="Q1" s="378" t="s">
        <v>7</v>
      </c>
      <c r="R1" s="375"/>
      <c r="S1" s="377" t="s">
        <v>1850</v>
      </c>
      <c r="T1" s="376"/>
      <c r="U1" s="376"/>
      <c r="V1" s="376"/>
    </row>
    <row r="2" spans="1:23" s="171" customFormat="1" ht="34.5" customHeight="1">
      <c r="A2" s="252" t="str">
        <f>C2</f>
        <v>TaskID</v>
      </c>
      <c r="B2" s="252" t="s">
        <v>1262</v>
      </c>
      <c r="C2" s="253" t="s">
        <v>1264</v>
      </c>
      <c r="D2" s="254" t="s">
        <v>1265</v>
      </c>
      <c r="E2" s="254" t="s">
        <v>1261</v>
      </c>
      <c r="F2" s="255" t="s">
        <v>1260</v>
      </c>
      <c r="G2" s="255" t="s">
        <v>1218</v>
      </c>
      <c r="H2" s="256" t="s">
        <v>1279</v>
      </c>
      <c r="I2" s="256" t="s">
        <v>1830</v>
      </c>
      <c r="J2" s="257" t="s">
        <v>1829</v>
      </c>
      <c r="K2" s="257" t="s">
        <v>1830</v>
      </c>
      <c r="L2" s="257" t="s">
        <v>1268</v>
      </c>
      <c r="M2" s="257" t="s">
        <v>1115</v>
      </c>
      <c r="N2" s="258" t="s">
        <v>1269</v>
      </c>
      <c r="O2" s="259" t="s">
        <v>1271</v>
      </c>
      <c r="P2" s="258" t="s">
        <v>1270</v>
      </c>
      <c r="Q2" s="260" t="s">
        <v>7</v>
      </c>
      <c r="R2" s="258" t="s">
        <v>1272</v>
      </c>
      <c r="S2" s="255" t="s">
        <v>1266</v>
      </c>
      <c r="T2" s="261" t="s">
        <v>9</v>
      </c>
      <c r="U2" s="259" t="s">
        <v>1267</v>
      </c>
      <c r="V2" s="262" t="s">
        <v>1273</v>
      </c>
      <c r="W2" s="254"/>
    </row>
    <row r="3" spans="1:23" s="172" customFormat="1" ht="20.25" customHeight="1">
      <c r="A3" s="263">
        <f>C3</f>
        <v>2</v>
      </c>
      <c r="B3" s="263"/>
      <c r="C3" s="264">
        <v>2</v>
      </c>
      <c r="D3" s="265" t="s">
        <v>1280</v>
      </c>
      <c r="E3" s="266"/>
      <c r="F3" s="267"/>
      <c r="G3" s="267"/>
      <c r="H3" s="268"/>
      <c r="I3" s="268"/>
      <c r="J3" s="269"/>
      <c r="K3" s="269"/>
      <c r="L3" s="269"/>
      <c r="M3" s="270"/>
      <c r="N3" s="271"/>
      <c r="O3" s="272"/>
      <c r="P3" s="271"/>
      <c r="Q3" s="273"/>
      <c r="R3" s="271"/>
      <c r="S3" s="274"/>
      <c r="T3" s="275"/>
      <c r="U3" s="272"/>
      <c r="V3" s="276"/>
    </row>
    <row r="4" spans="1:23" s="172" customFormat="1" ht="20.25" customHeight="1">
      <c r="A4" s="263">
        <f t="shared" ref="A4:A26" si="0">C4</f>
        <v>3</v>
      </c>
      <c r="B4" s="263"/>
      <c r="C4" s="264">
        <f t="shared" ref="C4:C67" si="1">C3+1</f>
        <v>3</v>
      </c>
      <c r="D4" s="277" t="s">
        <v>1281</v>
      </c>
      <c r="E4" s="278"/>
      <c r="F4" s="267"/>
      <c r="G4" s="267"/>
      <c r="H4" s="268"/>
      <c r="I4" s="268"/>
      <c r="J4" s="269"/>
      <c r="K4" s="269"/>
      <c r="L4" s="269"/>
      <c r="M4" s="270"/>
      <c r="N4" s="271"/>
      <c r="O4" s="272"/>
      <c r="P4" s="271"/>
      <c r="Q4" s="273"/>
      <c r="R4" s="271"/>
      <c r="S4" s="274"/>
      <c r="T4" s="275"/>
      <c r="U4" s="272"/>
      <c r="V4" s="276"/>
    </row>
    <row r="5" spans="1:23" s="172" customFormat="1" ht="20.25" customHeight="1">
      <c r="A5" s="263">
        <f t="shared" si="0"/>
        <v>4</v>
      </c>
      <c r="B5" s="263"/>
      <c r="C5" s="264">
        <f t="shared" si="1"/>
        <v>4</v>
      </c>
      <c r="D5" s="277" t="s">
        <v>1282</v>
      </c>
      <c r="E5" s="278"/>
      <c r="F5" s="267"/>
      <c r="G5" s="267"/>
      <c r="H5" s="268"/>
      <c r="I5" s="268"/>
      <c r="J5" s="269"/>
      <c r="K5" s="269"/>
      <c r="L5" s="269"/>
      <c r="M5" s="270"/>
      <c r="N5" s="271"/>
      <c r="O5" s="272"/>
      <c r="P5" s="271"/>
      <c r="Q5" s="273"/>
      <c r="R5" s="271"/>
      <c r="S5" s="274"/>
      <c r="T5" s="275"/>
      <c r="U5" s="272"/>
      <c r="V5" s="276"/>
    </row>
    <row r="6" spans="1:23" s="172" customFormat="1" ht="20.25" customHeight="1">
      <c r="A6" s="263">
        <f t="shared" si="0"/>
        <v>5</v>
      </c>
      <c r="B6" s="263"/>
      <c r="C6" s="264">
        <f t="shared" si="1"/>
        <v>5</v>
      </c>
      <c r="D6" s="277" t="s">
        <v>1283</v>
      </c>
      <c r="E6" s="278"/>
      <c r="F6" s="267"/>
      <c r="G6" s="267"/>
      <c r="H6" s="268"/>
      <c r="I6" s="268"/>
      <c r="J6" s="269"/>
      <c r="K6" s="269"/>
      <c r="L6" s="269"/>
      <c r="M6" s="270"/>
      <c r="N6" s="271"/>
      <c r="O6" s="272"/>
      <c r="P6" s="271"/>
      <c r="Q6" s="273"/>
      <c r="R6" s="271"/>
      <c r="S6" s="274"/>
      <c r="T6" s="275"/>
      <c r="U6" s="272"/>
      <c r="V6" s="276"/>
    </row>
    <row r="7" spans="1:23" s="172" customFormat="1" ht="20.25" customHeight="1">
      <c r="A7" s="263">
        <f t="shared" si="0"/>
        <v>6</v>
      </c>
      <c r="B7" s="263"/>
      <c r="C7" s="264">
        <f t="shared" si="1"/>
        <v>6</v>
      </c>
      <c r="D7" s="277" t="s">
        <v>1284</v>
      </c>
      <c r="E7" s="278"/>
      <c r="F7" s="267"/>
      <c r="G7" s="267"/>
      <c r="H7" s="268"/>
      <c r="I7" s="268"/>
      <c r="J7" s="269"/>
      <c r="K7" s="269"/>
      <c r="L7" s="269"/>
      <c r="M7" s="270"/>
      <c r="N7" s="271"/>
      <c r="O7" s="272"/>
      <c r="P7" s="271"/>
      <c r="Q7" s="273"/>
      <c r="R7" s="271"/>
      <c r="S7" s="274"/>
      <c r="T7" s="275"/>
      <c r="U7" s="272"/>
      <c r="V7" s="276"/>
    </row>
    <row r="8" spans="1:23" s="172" customFormat="1" ht="20.25" customHeight="1">
      <c r="A8" s="263">
        <f t="shared" si="0"/>
        <v>7</v>
      </c>
      <c r="B8" s="263"/>
      <c r="C8" s="264">
        <f t="shared" si="1"/>
        <v>7</v>
      </c>
      <c r="D8" s="277" t="s">
        <v>1285</v>
      </c>
      <c r="E8" s="278"/>
      <c r="F8" s="267"/>
      <c r="G8" s="267"/>
      <c r="H8" s="268"/>
      <c r="I8" s="268"/>
      <c r="J8" s="269"/>
      <c r="K8" s="269"/>
      <c r="L8" s="269"/>
      <c r="M8" s="270"/>
      <c r="N8" s="271"/>
      <c r="O8" s="272"/>
      <c r="P8" s="271"/>
      <c r="Q8" s="273"/>
      <c r="R8" s="271"/>
      <c r="S8" s="274"/>
      <c r="T8" s="275"/>
      <c r="U8" s="272"/>
      <c r="V8" s="276"/>
    </row>
    <row r="9" spans="1:23" s="172" customFormat="1" ht="20.25" customHeight="1">
      <c r="A9" s="263">
        <f t="shared" si="0"/>
        <v>8</v>
      </c>
      <c r="B9" s="263"/>
      <c r="C9" s="264">
        <f t="shared" si="1"/>
        <v>8</v>
      </c>
      <c r="D9" s="277" t="s">
        <v>1286</v>
      </c>
      <c r="E9" s="278"/>
      <c r="F9" s="267"/>
      <c r="G9" s="267"/>
      <c r="H9" s="268"/>
      <c r="I9" s="268"/>
      <c r="J9" s="269"/>
      <c r="K9" s="269"/>
      <c r="L9" s="269"/>
      <c r="M9" s="270"/>
      <c r="N9" s="271"/>
      <c r="O9" s="272"/>
      <c r="P9" s="271"/>
      <c r="Q9" s="273"/>
      <c r="R9" s="271"/>
      <c r="S9" s="274"/>
      <c r="T9" s="275"/>
      <c r="U9" s="272"/>
      <c r="V9" s="276"/>
    </row>
    <row r="10" spans="1:23" s="172" customFormat="1" ht="20.25" customHeight="1">
      <c r="A10" s="263">
        <f t="shared" si="0"/>
        <v>9</v>
      </c>
      <c r="B10" s="263"/>
      <c r="C10" s="264">
        <f t="shared" si="1"/>
        <v>9</v>
      </c>
      <c r="D10" s="277" t="s">
        <v>1287</v>
      </c>
      <c r="E10" s="278"/>
      <c r="F10" s="267"/>
      <c r="G10" s="267"/>
      <c r="H10" s="268"/>
      <c r="I10" s="268"/>
      <c r="J10" s="269"/>
      <c r="K10" s="269"/>
      <c r="L10" s="269"/>
      <c r="M10" s="270"/>
      <c r="N10" s="271"/>
      <c r="O10" s="272"/>
      <c r="P10" s="271"/>
      <c r="Q10" s="273"/>
      <c r="R10" s="271"/>
      <c r="S10" s="274"/>
      <c r="T10" s="275"/>
      <c r="U10" s="272"/>
      <c r="V10" s="276"/>
    </row>
    <row r="11" spans="1:23" s="172" customFormat="1" ht="20.25" customHeight="1">
      <c r="A11" s="263">
        <f t="shared" si="0"/>
        <v>10</v>
      </c>
      <c r="B11" s="263"/>
      <c r="C11" s="264">
        <f t="shared" si="1"/>
        <v>10</v>
      </c>
      <c r="D11" s="277" t="s">
        <v>1288</v>
      </c>
      <c r="E11" s="278"/>
      <c r="F11" s="267"/>
      <c r="G11" s="267"/>
      <c r="H11" s="268"/>
      <c r="I11" s="268"/>
      <c r="J11" s="269"/>
      <c r="K11" s="269"/>
      <c r="L11" s="269"/>
      <c r="M11" s="270"/>
      <c r="N11" s="271"/>
      <c r="O11" s="272"/>
      <c r="P11" s="271"/>
      <c r="Q11" s="273"/>
      <c r="R11" s="271"/>
      <c r="S11" s="274"/>
      <c r="T11" s="275"/>
      <c r="U11" s="272"/>
      <c r="V11" s="276"/>
    </row>
    <row r="12" spans="1:23" s="172" customFormat="1" ht="20.25" customHeight="1">
      <c r="A12" s="263">
        <f t="shared" si="0"/>
        <v>11</v>
      </c>
      <c r="B12" s="263"/>
      <c r="C12" s="264">
        <f t="shared" si="1"/>
        <v>11</v>
      </c>
      <c r="D12" s="277" t="s">
        <v>1289</v>
      </c>
      <c r="E12" s="278"/>
      <c r="F12" s="267"/>
      <c r="G12" s="267"/>
      <c r="H12" s="268"/>
      <c r="I12" s="268"/>
      <c r="J12" s="269"/>
      <c r="K12" s="269"/>
      <c r="L12" s="269"/>
      <c r="M12" s="270"/>
      <c r="N12" s="271"/>
      <c r="O12" s="272"/>
      <c r="P12" s="271"/>
      <c r="Q12" s="273"/>
      <c r="R12" s="271"/>
      <c r="S12" s="274"/>
      <c r="T12" s="275"/>
      <c r="U12" s="272"/>
      <c r="V12" s="276"/>
    </row>
    <row r="13" spans="1:23" s="172" customFormat="1" ht="20.25" customHeight="1">
      <c r="A13" s="263">
        <f t="shared" si="0"/>
        <v>12</v>
      </c>
      <c r="B13" s="263"/>
      <c r="C13" s="264">
        <f t="shared" si="1"/>
        <v>12</v>
      </c>
      <c r="D13" s="277" t="s">
        <v>1290</v>
      </c>
      <c r="E13" s="278"/>
      <c r="F13" s="267"/>
      <c r="G13" s="267"/>
      <c r="H13" s="268"/>
      <c r="I13" s="268"/>
      <c r="J13" s="269"/>
      <c r="K13" s="269"/>
      <c r="L13" s="269"/>
      <c r="M13" s="270"/>
      <c r="N13" s="271"/>
      <c r="O13" s="272"/>
      <c r="P13" s="271"/>
      <c r="Q13" s="273"/>
      <c r="R13" s="271"/>
      <c r="S13" s="274"/>
      <c r="T13" s="275"/>
      <c r="U13" s="272"/>
      <c r="V13" s="276"/>
    </row>
    <row r="14" spans="1:23" s="172" customFormat="1" ht="20.25" customHeight="1">
      <c r="A14" s="263">
        <f t="shared" si="0"/>
        <v>13</v>
      </c>
      <c r="B14" s="263"/>
      <c r="C14" s="264">
        <f t="shared" si="1"/>
        <v>13</v>
      </c>
      <c r="D14" s="277" t="s">
        <v>1291</v>
      </c>
      <c r="E14" s="278"/>
      <c r="F14" s="267"/>
      <c r="G14" s="267"/>
      <c r="H14" s="268"/>
      <c r="I14" s="268"/>
      <c r="J14" s="269"/>
      <c r="K14" s="269"/>
      <c r="L14" s="269"/>
      <c r="M14" s="270"/>
      <c r="N14" s="271"/>
      <c r="O14" s="272"/>
      <c r="P14" s="271"/>
      <c r="Q14" s="273"/>
      <c r="R14" s="271"/>
      <c r="S14" s="274"/>
      <c r="T14" s="275"/>
      <c r="U14" s="272"/>
      <c r="V14" s="276"/>
    </row>
    <row r="15" spans="1:23" s="172" customFormat="1" ht="20.25" customHeight="1">
      <c r="A15" s="263">
        <f t="shared" si="0"/>
        <v>14</v>
      </c>
      <c r="B15" s="263"/>
      <c r="C15" s="264">
        <f t="shared" si="1"/>
        <v>14</v>
      </c>
      <c r="D15" s="277" t="s">
        <v>1292</v>
      </c>
      <c r="E15" s="278"/>
      <c r="F15" s="267"/>
      <c r="G15" s="267"/>
      <c r="H15" s="268"/>
      <c r="I15" s="268"/>
      <c r="J15" s="269"/>
      <c r="K15" s="269"/>
      <c r="L15" s="269"/>
      <c r="M15" s="270"/>
      <c r="N15" s="271"/>
      <c r="O15" s="272"/>
      <c r="P15" s="271"/>
      <c r="Q15" s="273"/>
      <c r="R15" s="271"/>
      <c r="S15" s="274"/>
      <c r="T15" s="275"/>
      <c r="U15" s="272"/>
      <c r="V15" s="276"/>
    </row>
    <row r="16" spans="1:23" s="172" customFormat="1" ht="20.25" customHeight="1">
      <c r="A16" s="263">
        <f t="shared" si="0"/>
        <v>15</v>
      </c>
      <c r="B16" s="263"/>
      <c r="C16" s="264">
        <f t="shared" si="1"/>
        <v>15</v>
      </c>
      <c r="D16" s="277" t="s">
        <v>1293</v>
      </c>
      <c r="E16" s="278"/>
      <c r="F16" s="267"/>
      <c r="G16" s="267"/>
      <c r="H16" s="268"/>
      <c r="I16" s="268"/>
      <c r="J16" s="269"/>
      <c r="K16" s="269"/>
      <c r="L16" s="269"/>
      <c r="M16" s="270"/>
      <c r="N16" s="271"/>
      <c r="O16" s="272"/>
      <c r="P16" s="271"/>
      <c r="Q16" s="273"/>
      <c r="R16" s="271"/>
      <c r="S16" s="274"/>
      <c r="T16" s="275"/>
      <c r="U16" s="272"/>
      <c r="V16" s="276"/>
    </row>
    <row r="17" spans="1:22" s="172" customFormat="1" ht="20.25" customHeight="1">
      <c r="A17" s="263">
        <f t="shared" si="0"/>
        <v>16</v>
      </c>
      <c r="B17" s="263"/>
      <c r="C17" s="264">
        <f t="shared" si="1"/>
        <v>16</v>
      </c>
      <c r="D17" s="277" t="s">
        <v>1294</v>
      </c>
      <c r="E17" s="278"/>
      <c r="F17" s="267"/>
      <c r="G17" s="267"/>
      <c r="H17" s="268"/>
      <c r="I17" s="268"/>
      <c r="J17" s="269"/>
      <c r="K17" s="269"/>
      <c r="L17" s="269"/>
      <c r="M17" s="270"/>
      <c r="N17" s="271"/>
      <c r="O17" s="272"/>
      <c r="P17" s="271"/>
      <c r="Q17" s="273"/>
      <c r="R17" s="271"/>
      <c r="S17" s="274"/>
      <c r="T17" s="275"/>
      <c r="U17" s="272"/>
      <c r="V17" s="276"/>
    </row>
    <row r="18" spans="1:22" s="172" customFormat="1" ht="20.25" customHeight="1">
      <c r="A18" s="263">
        <f t="shared" si="0"/>
        <v>17</v>
      </c>
      <c r="B18" s="263"/>
      <c r="C18" s="264">
        <f t="shared" si="1"/>
        <v>17</v>
      </c>
      <c r="D18" s="277" t="s">
        <v>1295</v>
      </c>
      <c r="E18" s="278"/>
      <c r="F18" s="267"/>
      <c r="G18" s="267"/>
      <c r="H18" s="268"/>
      <c r="I18" s="268"/>
      <c r="J18" s="269"/>
      <c r="K18" s="269"/>
      <c r="L18" s="269"/>
      <c r="M18" s="270"/>
      <c r="N18" s="271"/>
      <c r="O18" s="272"/>
      <c r="P18" s="271"/>
      <c r="Q18" s="273"/>
      <c r="R18" s="271"/>
      <c r="S18" s="274"/>
      <c r="T18" s="275"/>
      <c r="U18" s="272"/>
      <c r="V18" s="276"/>
    </row>
    <row r="19" spans="1:22" s="172" customFormat="1" ht="20.25" customHeight="1">
      <c r="A19" s="263">
        <f t="shared" si="0"/>
        <v>18</v>
      </c>
      <c r="B19" s="263"/>
      <c r="C19" s="264">
        <f t="shared" si="1"/>
        <v>18</v>
      </c>
      <c r="D19" s="277" t="s">
        <v>1296</v>
      </c>
      <c r="E19" s="278"/>
      <c r="F19" s="267"/>
      <c r="G19" s="267"/>
      <c r="H19" s="268"/>
      <c r="I19" s="268"/>
      <c r="J19" s="269"/>
      <c r="K19" s="269"/>
      <c r="L19" s="269"/>
      <c r="M19" s="270"/>
      <c r="N19" s="271"/>
      <c r="O19" s="272"/>
      <c r="P19" s="271"/>
      <c r="Q19" s="273"/>
      <c r="R19" s="271"/>
      <c r="S19" s="274"/>
      <c r="T19" s="275"/>
      <c r="U19" s="272"/>
      <c r="V19" s="276"/>
    </row>
    <row r="20" spans="1:22" s="172" customFormat="1" ht="20.25" customHeight="1">
      <c r="A20" s="263">
        <f t="shared" si="0"/>
        <v>19</v>
      </c>
      <c r="B20" s="263"/>
      <c r="C20" s="264">
        <f t="shared" si="1"/>
        <v>19</v>
      </c>
      <c r="D20" s="277" t="s">
        <v>1297</v>
      </c>
      <c r="E20" s="278"/>
      <c r="F20" s="267"/>
      <c r="G20" s="267"/>
      <c r="H20" s="268"/>
      <c r="I20" s="268"/>
      <c r="J20" s="269"/>
      <c r="K20" s="269"/>
      <c r="L20" s="269"/>
      <c r="M20" s="270"/>
      <c r="N20" s="271"/>
      <c r="O20" s="272"/>
      <c r="P20" s="271"/>
      <c r="Q20" s="273"/>
      <c r="R20" s="271"/>
      <c r="S20" s="274"/>
      <c r="T20" s="275"/>
      <c r="U20" s="272"/>
      <c r="V20" s="276"/>
    </row>
    <row r="21" spans="1:22" s="172" customFormat="1" ht="20.25" customHeight="1">
      <c r="A21" s="263">
        <f t="shared" si="0"/>
        <v>20</v>
      </c>
      <c r="B21" s="263"/>
      <c r="C21" s="264">
        <f t="shared" si="1"/>
        <v>20</v>
      </c>
      <c r="D21" s="277" t="s">
        <v>1298</v>
      </c>
      <c r="E21" s="278"/>
      <c r="F21" s="267"/>
      <c r="G21" s="267"/>
      <c r="H21" s="268"/>
      <c r="I21" s="268"/>
      <c r="J21" s="269"/>
      <c r="K21" s="269"/>
      <c r="L21" s="269"/>
      <c r="M21" s="270"/>
      <c r="N21" s="271"/>
      <c r="O21" s="272"/>
      <c r="P21" s="271"/>
      <c r="Q21" s="273"/>
      <c r="R21" s="271"/>
      <c r="S21" s="274"/>
      <c r="T21" s="275"/>
      <c r="U21" s="272"/>
      <c r="V21" s="276"/>
    </row>
    <row r="22" spans="1:22" s="172" customFormat="1" ht="20.25" customHeight="1">
      <c r="A22" s="263">
        <f t="shared" si="0"/>
        <v>21</v>
      </c>
      <c r="B22" s="263"/>
      <c r="C22" s="264">
        <f t="shared" si="1"/>
        <v>21</v>
      </c>
      <c r="D22" s="277" t="s">
        <v>1299</v>
      </c>
      <c r="E22" s="278"/>
      <c r="F22" s="267"/>
      <c r="G22" s="267"/>
      <c r="H22" s="268"/>
      <c r="I22" s="268"/>
      <c r="J22" s="269"/>
      <c r="K22" s="269"/>
      <c r="L22" s="269"/>
      <c r="M22" s="270"/>
      <c r="N22" s="271"/>
      <c r="O22" s="272"/>
      <c r="P22" s="271"/>
      <c r="Q22" s="273"/>
      <c r="R22" s="271"/>
      <c r="S22" s="274"/>
      <c r="T22" s="275"/>
      <c r="U22" s="272"/>
      <c r="V22" s="276"/>
    </row>
    <row r="23" spans="1:22" s="172" customFormat="1" ht="20.25" customHeight="1">
      <c r="A23" s="263">
        <f t="shared" si="0"/>
        <v>22</v>
      </c>
      <c r="B23" s="263"/>
      <c r="C23" s="264">
        <f t="shared" si="1"/>
        <v>22</v>
      </c>
      <c r="D23" s="277" t="s">
        <v>1300</v>
      </c>
      <c r="E23" s="278"/>
      <c r="F23" s="267"/>
      <c r="G23" s="267"/>
      <c r="H23" s="268"/>
      <c r="I23" s="268"/>
      <c r="J23" s="269"/>
      <c r="K23" s="269"/>
      <c r="L23" s="269"/>
      <c r="M23" s="270"/>
      <c r="N23" s="271"/>
      <c r="O23" s="272"/>
      <c r="P23" s="271"/>
      <c r="Q23" s="273"/>
      <c r="R23" s="271"/>
      <c r="S23" s="274"/>
      <c r="T23" s="275"/>
      <c r="U23" s="272"/>
      <c r="V23" s="276"/>
    </row>
    <row r="24" spans="1:22" s="172" customFormat="1" ht="20.25" customHeight="1">
      <c r="A24" s="263">
        <f t="shared" si="0"/>
        <v>23</v>
      </c>
      <c r="B24" s="263"/>
      <c r="C24" s="264">
        <f t="shared" si="1"/>
        <v>23</v>
      </c>
      <c r="D24" s="277" t="s">
        <v>1301</v>
      </c>
      <c r="E24" s="278"/>
      <c r="F24" s="267"/>
      <c r="G24" s="267"/>
      <c r="H24" s="268"/>
      <c r="I24" s="268"/>
      <c r="J24" s="269"/>
      <c r="K24" s="269"/>
      <c r="L24" s="269"/>
      <c r="M24" s="270"/>
      <c r="N24" s="271"/>
      <c r="O24" s="272"/>
      <c r="P24" s="271"/>
      <c r="Q24" s="273"/>
      <c r="R24" s="271"/>
      <c r="S24" s="274"/>
      <c r="T24" s="275"/>
      <c r="U24" s="272"/>
      <c r="V24" s="276"/>
    </row>
    <row r="25" spans="1:22" s="172" customFormat="1" ht="20.25" customHeight="1">
      <c r="A25" s="263">
        <f t="shared" si="0"/>
        <v>24</v>
      </c>
      <c r="B25" s="263"/>
      <c r="C25" s="264">
        <f t="shared" si="1"/>
        <v>24</v>
      </c>
      <c r="D25" s="277" t="s">
        <v>1302</v>
      </c>
      <c r="E25" s="278"/>
      <c r="F25" s="267"/>
      <c r="G25" s="267"/>
      <c r="H25" s="268"/>
      <c r="I25" s="268"/>
      <c r="J25" s="269"/>
      <c r="K25" s="269"/>
      <c r="L25" s="269"/>
      <c r="M25" s="270"/>
      <c r="N25" s="271"/>
      <c r="O25" s="272"/>
      <c r="P25" s="271"/>
      <c r="Q25" s="273"/>
      <c r="R25" s="271"/>
      <c r="S25" s="274"/>
      <c r="T25" s="275"/>
      <c r="U25" s="272"/>
      <c r="V25" s="276"/>
    </row>
    <row r="26" spans="1:22" s="172" customFormat="1" ht="20.25" customHeight="1">
      <c r="A26" s="263">
        <f t="shared" si="0"/>
        <v>25</v>
      </c>
      <c r="B26" s="263"/>
      <c r="C26" s="264">
        <f t="shared" si="1"/>
        <v>25</v>
      </c>
      <c r="D26" s="277" t="s">
        <v>1303</v>
      </c>
      <c r="E26" s="278"/>
      <c r="F26" s="267"/>
      <c r="G26" s="267"/>
      <c r="H26" s="268"/>
      <c r="I26" s="268"/>
      <c r="J26" s="269"/>
      <c r="K26" s="269"/>
      <c r="L26" s="269"/>
      <c r="M26" s="270"/>
      <c r="N26" s="271"/>
      <c r="O26" s="272"/>
      <c r="P26" s="271"/>
      <c r="Q26" s="273"/>
      <c r="R26" s="271"/>
      <c r="S26" s="274"/>
      <c r="T26" s="275"/>
      <c r="U26" s="272"/>
      <c r="V26" s="276"/>
    </row>
    <row r="27" spans="1:22" s="172" customFormat="1" ht="20.25" customHeight="1">
      <c r="A27" s="263">
        <f>IF(B27="Yes",C27,"")</f>
        <v>26</v>
      </c>
      <c r="B27" s="263" t="s">
        <v>1263</v>
      </c>
      <c r="C27" s="264">
        <f t="shared" si="1"/>
        <v>26</v>
      </c>
      <c r="D27" s="265" t="s">
        <v>1304</v>
      </c>
      <c r="E27" s="279">
        <f>C10</f>
        <v>9</v>
      </c>
      <c r="F27" s="267"/>
      <c r="G27" s="267"/>
      <c r="H27" s="268"/>
      <c r="I27" s="268"/>
      <c r="J27" s="269"/>
      <c r="K27" s="269"/>
      <c r="L27" s="269"/>
      <c r="M27" s="270"/>
      <c r="N27" s="271"/>
      <c r="O27" s="280"/>
      <c r="P27" s="271"/>
      <c r="Q27" s="281"/>
      <c r="R27" s="271"/>
      <c r="S27" s="269"/>
      <c r="T27" s="282"/>
      <c r="U27" s="280"/>
      <c r="V27" s="276"/>
    </row>
    <row r="28" spans="1:22" s="172" customFormat="1" ht="20.25" customHeight="1">
      <c r="A28" s="263" t="str">
        <f t="shared" ref="A28:A91" si="2">IF(B28="Yes",C28,"")</f>
        <v/>
      </c>
      <c r="B28" s="263"/>
      <c r="C28" s="264">
        <f t="shared" si="1"/>
        <v>27</v>
      </c>
      <c r="D28" s="277" t="s">
        <v>1305</v>
      </c>
      <c r="E28" s="278"/>
      <c r="F28" s="267" t="s">
        <v>37</v>
      </c>
      <c r="G28" s="267"/>
      <c r="H28" s="283">
        <v>12</v>
      </c>
      <c r="I28" s="283"/>
      <c r="J28" s="284"/>
      <c r="K28" s="284"/>
      <c r="L28" s="284"/>
      <c r="M28" s="285">
        <v>1</v>
      </c>
      <c r="N28" s="286" t="s">
        <v>81</v>
      </c>
      <c r="O28" s="287">
        <v>1</v>
      </c>
      <c r="P28" s="271" t="s">
        <v>81</v>
      </c>
      <c r="Q28" s="288">
        <v>4</v>
      </c>
      <c r="R28" s="289" t="s">
        <v>41</v>
      </c>
      <c r="S28" s="290">
        <f>O28*Q28</f>
        <v>4</v>
      </c>
      <c r="T28" s="291"/>
      <c r="U28" s="290">
        <f t="shared" ref="U28:U91" si="3">ROUND(S28+T28,2)</f>
        <v>4</v>
      </c>
      <c r="V28" s="276" t="s">
        <v>42</v>
      </c>
    </row>
    <row r="29" spans="1:22" s="172" customFormat="1" ht="20.25" customHeight="1">
      <c r="A29" s="263" t="str">
        <f t="shared" si="2"/>
        <v/>
      </c>
      <c r="B29" s="263"/>
      <c r="C29" s="264">
        <f t="shared" si="1"/>
        <v>28</v>
      </c>
      <c r="D29" s="292" t="s">
        <v>1306</v>
      </c>
      <c r="E29" s="293">
        <f t="shared" ref="E29:E42" si="4">C28</f>
        <v>27</v>
      </c>
      <c r="F29" s="267" t="s">
        <v>44</v>
      </c>
      <c r="G29" s="267"/>
      <c r="H29" s="283">
        <v>12</v>
      </c>
      <c r="I29" s="283"/>
      <c r="J29" s="294">
        <v>740</v>
      </c>
      <c r="K29" s="294" t="s">
        <v>1831</v>
      </c>
      <c r="L29" s="367" t="str">
        <f>J29&amp;" "&amp;K29</f>
        <v>740 mm</v>
      </c>
      <c r="M29" s="295">
        <v>1</v>
      </c>
      <c r="N29" s="296" t="s">
        <v>81</v>
      </c>
      <c r="O29" s="297">
        <f>J29*M29*0.001</f>
        <v>0.74</v>
      </c>
      <c r="P29" s="298" t="s">
        <v>46</v>
      </c>
      <c r="Q29" s="299">
        <f>VLOOKUP(H29,BM!$B$3:$Y$62,2,FALSE)</f>
        <v>0.1</v>
      </c>
      <c r="R29" s="300" t="s">
        <v>47</v>
      </c>
      <c r="S29" s="290">
        <f t="shared" ref="S29:S92" si="5">O29*Q29</f>
        <v>7.3999999999999996E-2</v>
      </c>
      <c r="T29" s="301">
        <v>1</v>
      </c>
      <c r="U29" s="290">
        <f t="shared" si="3"/>
        <v>1.07</v>
      </c>
      <c r="V29" s="302" t="s">
        <v>48</v>
      </c>
    </row>
    <row r="30" spans="1:22" s="172" customFormat="1" ht="20.25" customHeight="1">
      <c r="A30" s="263" t="str">
        <f t="shared" si="2"/>
        <v/>
      </c>
      <c r="B30" s="263"/>
      <c r="C30" s="264">
        <f t="shared" si="1"/>
        <v>29</v>
      </c>
      <c r="D30" s="277" t="s">
        <v>1307</v>
      </c>
      <c r="E30" s="293">
        <f t="shared" si="4"/>
        <v>28</v>
      </c>
      <c r="F30" s="267" t="s">
        <v>44</v>
      </c>
      <c r="G30" s="267"/>
      <c r="H30" s="283">
        <v>12</v>
      </c>
      <c r="I30" s="283"/>
      <c r="J30" s="303"/>
      <c r="K30" s="303"/>
      <c r="L30" s="303"/>
      <c r="M30" s="304">
        <v>1</v>
      </c>
      <c r="N30" s="296" t="s">
        <v>81</v>
      </c>
      <c r="O30" s="305">
        <v>1</v>
      </c>
      <c r="P30" s="296" t="s">
        <v>81</v>
      </c>
      <c r="Q30" s="306">
        <v>1</v>
      </c>
      <c r="R30" s="271" t="s">
        <v>41</v>
      </c>
      <c r="S30" s="307">
        <v>1</v>
      </c>
      <c r="T30" s="275"/>
      <c r="U30" s="290">
        <f t="shared" si="3"/>
        <v>1</v>
      </c>
      <c r="V30" s="276" t="s">
        <v>42</v>
      </c>
    </row>
    <row r="31" spans="1:22" s="172" customFormat="1" ht="20.25" customHeight="1">
      <c r="A31" s="263" t="str">
        <f t="shared" si="2"/>
        <v/>
      </c>
      <c r="B31" s="263"/>
      <c r="C31" s="264">
        <f t="shared" si="1"/>
        <v>30</v>
      </c>
      <c r="D31" s="277" t="s">
        <v>1308</v>
      </c>
      <c r="E31" s="293">
        <f t="shared" si="4"/>
        <v>29</v>
      </c>
      <c r="F31" s="267" t="s">
        <v>52</v>
      </c>
      <c r="G31" s="267"/>
      <c r="H31" s="283">
        <v>12</v>
      </c>
      <c r="I31" s="283"/>
      <c r="J31" s="308">
        <f>J29</f>
        <v>740</v>
      </c>
      <c r="K31" s="308" t="str">
        <f>K29</f>
        <v>mm</v>
      </c>
      <c r="L31" s="367" t="str">
        <f>J31&amp;" "&amp;K31</f>
        <v>740 mm</v>
      </c>
      <c r="M31" s="304">
        <v>1</v>
      </c>
      <c r="N31" s="296" t="s">
        <v>81</v>
      </c>
      <c r="O31" s="297">
        <f>J31*M31*0.001</f>
        <v>0.74</v>
      </c>
      <c r="P31" s="271" t="s">
        <v>46</v>
      </c>
      <c r="Q31" s="299">
        <f>VLOOKUP(H31,BM!$B$3:$Y$62,3,FALSE)</f>
        <v>0.25</v>
      </c>
      <c r="R31" s="300" t="s">
        <v>53</v>
      </c>
      <c r="S31" s="290">
        <f t="shared" si="5"/>
        <v>0.185</v>
      </c>
      <c r="T31" s="301">
        <v>1</v>
      </c>
      <c r="U31" s="290">
        <f t="shared" si="3"/>
        <v>1.19</v>
      </c>
      <c r="V31" s="302" t="s">
        <v>48</v>
      </c>
    </row>
    <row r="32" spans="1:22" s="172" customFormat="1" ht="20.25" customHeight="1">
      <c r="A32" s="263" t="str">
        <f t="shared" si="2"/>
        <v/>
      </c>
      <c r="B32" s="263"/>
      <c r="C32" s="264">
        <f t="shared" si="1"/>
        <v>31</v>
      </c>
      <c r="D32" s="277" t="s">
        <v>1309</v>
      </c>
      <c r="E32" s="293">
        <f t="shared" si="4"/>
        <v>30</v>
      </c>
      <c r="F32" s="267" t="s">
        <v>55</v>
      </c>
      <c r="G32" s="267"/>
      <c r="H32" s="283">
        <v>12</v>
      </c>
      <c r="I32" s="283"/>
      <c r="J32" s="308">
        <f>J31</f>
        <v>740</v>
      </c>
      <c r="K32" s="308" t="str">
        <f>K31</f>
        <v>mm</v>
      </c>
      <c r="L32" s="367" t="str">
        <f>J32&amp;" "&amp;K32</f>
        <v>740 mm</v>
      </c>
      <c r="M32" s="304">
        <v>1</v>
      </c>
      <c r="N32" s="296" t="s">
        <v>81</v>
      </c>
      <c r="O32" s="305">
        <v>1</v>
      </c>
      <c r="P32" s="296" t="s">
        <v>81</v>
      </c>
      <c r="Q32" s="309">
        <v>10</v>
      </c>
      <c r="R32" s="300" t="s">
        <v>41</v>
      </c>
      <c r="S32" s="290">
        <f t="shared" si="5"/>
        <v>10</v>
      </c>
      <c r="T32" s="301"/>
      <c r="U32" s="290">
        <f t="shared" si="3"/>
        <v>10</v>
      </c>
      <c r="V32" s="276" t="s">
        <v>42</v>
      </c>
    </row>
    <row r="33" spans="1:22" s="172" customFormat="1" ht="20.25" customHeight="1">
      <c r="A33" s="263" t="str">
        <f t="shared" si="2"/>
        <v/>
      </c>
      <c r="B33" s="263"/>
      <c r="C33" s="264">
        <f t="shared" si="1"/>
        <v>32</v>
      </c>
      <c r="D33" s="277" t="s">
        <v>1310</v>
      </c>
      <c r="E33" s="293">
        <f t="shared" si="4"/>
        <v>31</v>
      </c>
      <c r="F33" s="267" t="s">
        <v>44</v>
      </c>
      <c r="G33" s="267"/>
      <c r="H33" s="283">
        <v>12</v>
      </c>
      <c r="I33" s="283"/>
      <c r="J33" s="308">
        <f t="shared" ref="J33" si="6">J32</f>
        <v>740</v>
      </c>
      <c r="K33" s="308" t="str">
        <f t="shared" ref="K33:L39" si="7">K32</f>
        <v>mm</v>
      </c>
      <c r="L33" s="367" t="str">
        <f>J33&amp;" "&amp;K33</f>
        <v>740 mm</v>
      </c>
      <c r="M33" s="304">
        <v>1</v>
      </c>
      <c r="N33" s="296" t="s">
        <v>81</v>
      </c>
      <c r="O33" s="272">
        <v>1</v>
      </c>
      <c r="P33" s="296" t="s">
        <v>81</v>
      </c>
      <c r="Q33" s="309">
        <v>1</v>
      </c>
      <c r="R33" s="300" t="s">
        <v>41</v>
      </c>
      <c r="S33" s="290">
        <f t="shared" si="5"/>
        <v>1</v>
      </c>
      <c r="T33" s="301"/>
      <c r="U33" s="290">
        <f t="shared" si="3"/>
        <v>1</v>
      </c>
      <c r="V33" s="276" t="s">
        <v>42</v>
      </c>
    </row>
    <row r="34" spans="1:22" s="172" customFormat="1" ht="20.25" customHeight="1">
      <c r="A34" s="263" t="str">
        <f t="shared" si="2"/>
        <v/>
      </c>
      <c r="B34" s="263"/>
      <c r="C34" s="264">
        <f t="shared" si="1"/>
        <v>33</v>
      </c>
      <c r="D34" s="277" t="s">
        <v>1311</v>
      </c>
      <c r="E34" s="293">
        <f t="shared" si="4"/>
        <v>32</v>
      </c>
      <c r="F34" s="267" t="s">
        <v>55</v>
      </c>
      <c r="G34" s="267"/>
      <c r="H34" s="283">
        <v>12</v>
      </c>
      <c r="I34" s="283"/>
      <c r="J34" s="308">
        <f t="shared" ref="J34" si="8">J33</f>
        <v>740</v>
      </c>
      <c r="K34" s="308" t="str">
        <f t="shared" si="7"/>
        <v>mm</v>
      </c>
      <c r="L34" s="367" t="str">
        <f>J34&amp;" "&amp;K34</f>
        <v>740 mm</v>
      </c>
      <c r="M34" s="304">
        <v>1</v>
      </c>
      <c r="N34" s="296" t="s">
        <v>81</v>
      </c>
      <c r="O34" s="272">
        <v>1</v>
      </c>
      <c r="P34" s="296" t="s">
        <v>81</v>
      </c>
      <c r="Q34" s="309">
        <v>1</v>
      </c>
      <c r="R34" s="300" t="s">
        <v>41</v>
      </c>
      <c r="S34" s="290">
        <f t="shared" si="5"/>
        <v>1</v>
      </c>
      <c r="T34" s="301"/>
      <c r="U34" s="290">
        <f t="shared" si="3"/>
        <v>1</v>
      </c>
      <c r="V34" s="276" t="s">
        <v>42</v>
      </c>
    </row>
    <row r="35" spans="1:22" s="172" customFormat="1" ht="20.25" customHeight="1">
      <c r="A35" s="263" t="str">
        <f t="shared" si="2"/>
        <v/>
      </c>
      <c r="B35" s="263"/>
      <c r="C35" s="264">
        <f t="shared" si="1"/>
        <v>34</v>
      </c>
      <c r="D35" s="277" t="s">
        <v>1312</v>
      </c>
      <c r="E35" s="293">
        <f t="shared" si="4"/>
        <v>33</v>
      </c>
      <c r="F35" s="267" t="s">
        <v>55</v>
      </c>
      <c r="G35" s="267"/>
      <c r="H35" s="283">
        <v>12</v>
      </c>
      <c r="I35" s="283"/>
      <c r="J35" s="308">
        <f t="shared" ref="J35" si="9">J34</f>
        <v>740</v>
      </c>
      <c r="K35" s="308" t="str">
        <f t="shared" si="7"/>
        <v>mm</v>
      </c>
      <c r="L35" s="367" t="str">
        <f>J35&amp;" "&amp;K35</f>
        <v>740 mm</v>
      </c>
      <c r="M35" s="304">
        <v>1</v>
      </c>
      <c r="N35" s="296" t="s">
        <v>81</v>
      </c>
      <c r="O35" s="272">
        <v>1</v>
      </c>
      <c r="P35" s="296" t="s">
        <v>81</v>
      </c>
      <c r="Q35" s="309">
        <v>4</v>
      </c>
      <c r="R35" s="300" t="s">
        <v>41</v>
      </c>
      <c r="S35" s="290">
        <f t="shared" si="5"/>
        <v>4</v>
      </c>
      <c r="T35" s="301"/>
      <c r="U35" s="290">
        <f t="shared" si="3"/>
        <v>4</v>
      </c>
      <c r="V35" s="276" t="s">
        <v>42</v>
      </c>
    </row>
    <row r="36" spans="1:22" s="172" customFormat="1" ht="20.25" customHeight="1">
      <c r="A36" s="263" t="str">
        <f t="shared" si="2"/>
        <v/>
      </c>
      <c r="B36" s="263"/>
      <c r="C36" s="264">
        <f t="shared" si="1"/>
        <v>35</v>
      </c>
      <c r="D36" s="277" t="s">
        <v>1313</v>
      </c>
      <c r="E36" s="293">
        <f t="shared" si="4"/>
        <v>34</v>
      </c>
      <c r="F36" s="267" t="s">
        <v>44</v>
      </c>
      <c r="G36" s="267"/>
      <c r="H36" s="283">
        <v>12</v>
      </c>
      <c r="I36" s="283"/>
      <c r="J36" s="308">
        <f t="shared" ref="J36" si="10">J35</f>
        <v>740</v>
      </c>
      <c r="K36" s="308" t="str">
        <f t="shared" si="7"/>
        <v>mm</v>
      </c>
      <c r="L36" s="367" t="str">
        <f>J36&amp;" "&amp;K36</f>
        <v>740 mm</v>
      </c>
      <c r="M36" s="304">
        <v>1</v>
      </c>
      <c r="N36" s="296" t="s">
        <v>81</v>
      </c>
      <c r="O36" s="272">
        <v>1</v>
      </c>
      <c r="P36" s="296" t="s">
        <v>81</v>
      </c>
      <c r="Q36" s="309">
        <v>1</v>
      </c>
      <c r="R36" s="300" t="s">
        <v>41</v>
      </c>
      <c r="S36" s="290">
        <f t="shared" si="5"/>
        <v>1</v>
      </c>
      <c r="T36" s="301"/>
      <c r="U36" s="290">
        <f t="shared" si="3"/>
        <v>1</v>
      </c>
      <c r="V36" s="276" t="s">
        <v>42</v>
      </c>
    </row>
    <row r="37" spans="1:22" s="172" customFormat="1" ht="20.25" customHeight="1">
      <c r="A37" s="263" t="str">
        <f t="shared" si="2"/>
        <v/>
      </c>
      <c r="B37" s="263"/>
      <c r="C37" s="264">
        <f t="shared" si="1"/>
        <v>36</v>
      </c>
      <c r="D37" s="277" t="s">
        <v>1314</v>
      </c>
      <c r="E37" s="293">
        <f t="shared" si="4"/>
        <v>35</v>
      </c>
      <c r="F37" s="267" t="s">
        <v>61</v>
      </c>
      <c r="G37" s="267"/>
      <c r="H37" s="283">
        <v>12</v>
      </c>
      <c r="I37" s="283"/>
      <c r="J37" s="308">
        <f t="shared" ref="J37" si="11">J36</f>
        <v>740</v>
      </c>
      <c r="K37" s="308" t="str">
        <f t="shared" si="7"/>
        <v>mm</v>
      </c>
      <c r="L37" s="367" t="str">
        <f>J37&amp;" "&amp;K37</f>
        <v>740 mm</v>
      </c>
      <c r="M37" s="304">
        <v>1</v>
      </c>
      <c r="N37" s="296" t="s">
        <v>81</v>
      </c>
      <c r="O37" s="272">
        <v>1</v>
      </c>
      <c r="P37" s="296" t="s">
        <v>81</v>
      </c>
      <c r="Q37" s="309">
        <v>1</v>
      </c>
      <c r="R37" s="300" t="s">
        <v>41</v>
      </c>
      <c r="S37" s="290">
        <f t="shared" si="5"/>
        <v>1</v>
      </c>
      <c r="T37" s="301">
        <v>1</v>
      </c>
      <c r="U37" s="290">
        <f t="shared" si="3"/>
        <v>2</v>
      </c>
      <c r="V37" s="276" t="s">
        <v>42</v>
      </c>
    </row>
    <row r="38" spans="1:22" s="172" customFormat="1" ht="20.25" customHeight="1">
      <c r="A38" s="263" t="str">
        <f t="shared" si="2"/>
        <v/>
      </c>
      <c r="B38" s="263"/>
      <c r="C38" s="264">
        <f t="shared" si="1"/>
        <v>37</v>
      </c>
      <c r="D38" s="277" t="s">
        <v>1315</v>
      </c>
      <c r="E38" s="293">
        <f t="shared" si="4"/>
        <v>36</v>
      </c>
      <c r="F38" s="267" t="s">
        <v>63</v>
      </c>
      <c r="G38" s="267"/>
      <c r="H38" s="283">
        <v>12</v>
      </c>
      <c r="I38" s="283"/>
      <c r="J38" s="308">
        <f t="shared" ref="J38" si="12">J37</f>
        <v>740</v>
      </c>
      <c r="K38" s="308" t="str">
        <f t="shared" si="7"/>
        <v>mm</v>
      </c>
      <c r="L38" s="367" t="str">
        <f>J38&amp;" "&amp;K38</f>
        <v>740 mm</v>
      </c>
      <c r="M38" s="304">
        <v>1</v>
      </c>
      <c r="N38" s="296" t="s">
        <v>81</v>
      </c>
      <c r="O38" s="272">
        <v>1</v>
      </c>
      <c r="P38" s="296" t="s">
        <v>81</v>
      </c>
      <c r="Q38" s="309">
        <v>1</v>
      </c>
      <c r="R38" s="300" t="s">
        <v>41</v>
      </c>
      <c r="S38" s="290">
        <f t="shared" si="5"/>
        <v>1</v>
      </c>
      <c r="T38" s="301"/>
      <c r="U38" s="290">
        <f t="shared" si="3"/>
        <v>1</v>
      </c>
      <c r="V38" s="276" t="s">
        <v>42</v>
      </c>
    </row>
    <row r="39" spans="1:22" s="172" customFormat="1" ht="20.25" customHeight="1">
      <c r="A39" s="263" t="str">
        <f t="shared" si="2"/>
        <v/>
      </c>
      <c r="B39" s="263"/>
      <c r="C39" s="264">
        <f t="shared" si="1"/>
        <v>38</v>
      </c>
      <c r="D39" s="277" t="s">
        <v>1316</v>
      </c>
      <c r="E39" s="293">
        <f t="shared" si="4"/>
        <v>37</v>
      </c>
      <c r="F39" s="267" t="s">
        <v>63</v>
      </c>
      <c r="G39" s="267"/>
      <c r="H39" s="283">
        <v>12</v>
      </c>
      <c r="I39" s="283"/>
      <c r="J39" s="308">
        <f t="shared" ref="J39" si="13">J38</f>
        <v>740</v>
      </c>
      <c r="K39" s="308" t="str">
        <f t="shared" si="7"/>
        <v>mm</v>
      </c>
      <c r="L39" s="367" t="str">
        <f>J39&amp;" "&amp;K39</f>
        <v>740 mm</v>
      </c>
      <c r="M39" s="304">
        <v>1</v>
      </c>
      <c r="N39" s="296" t="s">
        <v>81</v>
      </c>
      <c r="O39" s="272">
        <v>1</v>
      </c>
      <c r="P39" s="296" t="s">
        <v>81</v>
      </c>
      <c r="Q39" s="309">
        <v>1</v>
      </c>
      <c r="R39" s="300" t="s">
        <v>41</v>
      </c>
      <c r="S39" s="290">
        <f t="shared" si="5"/>
        <v>1</v>
      </c>
      <c r="T39" s="301"/>
      <c r="U39" s="290">
        <f t="shared" si="3"/>
        <v>1</v>
      </c>
      <c r="V39" s="276" t="s">
        <v>42</v>
      </c>
    </row>
    <row r="40" spans="1:22" s="172" customFormat="1" ht="20.25" customHeight="1">
      <c r="A40" s="263" t="str">
        <f t="shared" si="2"/>
        <v/>
      </c>
      <c r="B40" s="263"/>
      <c r="C40" s="264">
        <f t="shared" si="1"/>
        <v>39</v>
      </c>
      <c r="D40" s="277" t="s">
        <v>1317</v>
      </c>
      <c r="E40" s="293">
        <f t="shared" si="4"/>
        <v>38</v>
      </c>
      <c r="F40" s="267" t="s">
        <v>44</v>
      </c>
      <c r="G40" s="267" t="s">
        <v>66</v>
      </c>
      <c r="H40" s="283">
        <v>12</v>
      </c>
      <c r="I40" s="283"/>
      <c r="J40" s="310">
        <v>2323</v>
      </c>
      <c r="K40" s="294" t="s">
        <v>1831</v>
      </c>
      <c r="L40" s="367" t="str">
        <f>J40&amp;" "&amp;K40</f>
        <v>2323 mm</v>
      </c>
      <c r="M40" s="304">
        <v>1</v>
      </c>
      <c r="N40" s="296" t="s">
        <v>81</v>
      </c>
      <c r="O40" s="297">
        <f>LEFT(L40,SEARCH(" ",L40,1)-1)*M40*0.001*3.142</f>
        <v>7.2988659999999994</v>
      </c>
      <c r="P40" s="271" t="s">
        <v>68</v>
      </c>
      <c r="Q40" s="299">
        <f>VLOOKUP(H40,BM!$B$3:$Y$62,2,FALSE)</f>
        <v>0.1</v>
      </c>
      <c r="R40" s="300" t="s">
        <v>53</v>
      </c>
      <c r="S40" s="290">
        <f t="shared" si="5"/>
        <v>0.72988659999999994</v>
      </c>
      <c r="T40" s="301">
        <v>1</v>
      </c>
      <c r="U40" s="290">
        <f t="shared" si="3"/>
        <v>1.73</v>
      </c>
      <c r="V40" s="302" t="s">
        <v>48</v>
      </c>
    </row>
    <row r="41" spans="1:22" s="172" customFormat="1" ht="20.25" customHeight="1">
      <c r="A41" s="263" t="str">
        <f t="shared" si="2"/>
        <v/>
      </c>
      <c r="B41" s="263"/>
      <c r="C41" s="264">
        <f t="shared" si="1"/>
        <v>40</v>
      </c>
      <c r="D41" s="277" t="s">
        <v>1318</v>
      </c>
      <c r="E41" s="293">
        <f t="shared" si="4"/>
        <v>39</v>
      </c>
      <c r="F41" s="267" t="s">
        <v>52</v>
      </c>
      <c r="G41" s="267"/>
      <c r="H41" s="283">
        <v>12</v>
      </c>
      <c r="I41" s="283"/>
      <c r="J41" s="308">
        <f>J40</f>
        <v>2323</v>
      </c>
      <c r="K41" s="308" t="str">
        <f>K40</f>
        <v>mm</v>
      </c>
      <c r="L41" s="367" t="str">
        <f>J41&amp;" "&amp;K41</f>
        <v>2323 mm</v>
      </c>
      <c r="M41" s="304">
        <v>1</v>
      </c>
      <c r="N41" s="296" t="s">
        <v>81</v>
      </c>
      <c r="O41" s="297">
        <f>LEFT(L41,SEARCH(" ",L41,1)-1)*M41*0.001*3.142</f>
        <v>7.2988659999999994</v>
      </c>
      <c r="P41" s="271" t="s">
        <v>68</v>
      </c>
      <c r="Q41" s="299">
        <f>VLOOKUP(H41,BM!$B$3:$Y$62,15,FALSE)</f>
        <v>1</v>
      </c>
      <c r="R41" s="300" t="s">
        <v>53</v>
      </c>
      <c r="S41" s="290">
        <f t="shared" si="5"/>
        <v>7.2988659999999994</v>
      </c>
      <c r="T41" s="301">
        <v>1</v>
      </c>
      <c r="U41" s="290">
        <f t="shared" si="3"/>
        <v>8.3000000000000007</v>
      </c>
      <c r="V41" s="302" t="s">
        <v>48</v>
      </c>
    </row>
    <row r="42" spans="1:22" s="172" customFormat="1" ht="20.25" customHeight="1">
      <c r="A42" s="263" t="str">
        <f t="shared" si="2"/>
        <v/>
      </c>
      <c r="B42" s="263"/>
      <c r="C42" s="264">
        <f t="shared" si="1"/>
        <v>41</v>
      </c>
      <c r="D42" s="277" t="s">
        <v>1319</v>
      </c>
      <c r="E42" s="293">
        <f t="shared" si="4"/>
        <v>40</v>
      </c>
      <c r="F42" s="267" t="s">
        <v>61</v>
      </c>
      <c r="G42" s="267"/>
      <c r="H42" s="283">
        <v>12</v>
      </c>
      <c r="I42" s="283"/>
      <c r="J42" s="308">
        <f>J41</f>
        <v>2323</v>
      </c>
      <c r="K42" s="308" t="str">
        <f>K41</f>
        <v>mm</v>
      </c>
      <c r="L42" s="367" t="str">
        <f>J42&amp;" "&amp;K42</f>
        <v>2323 mm</v>
      </c>
      <c r="M42" s="304">
        <v>1</v>
      </c>
      <c r="N42" s="296" t="s">
        <v>81</v>
      </c>
      <c r="O42" s="297">
        <f>LEFT(L42,SEARCH(" ",L42,1)-1)*M42*0.001*3.142</f>
        <v>7.2988659999999994</v>
      </c>
      <c r="P42" s="271" t="s">
        <v>68</v>
      </c>
      <c r="Q42" s="299">
        <f>VLOOKUP(H42,BM!$B$3:$Y$62,6,FALSE)</f>
        <v>1</v>
      </c>
      <c r="R42" s="300" t="s">
        <v>53</v>
      </c>
      <c r="S42" s="290">
        <f t="shared" si="5"/>
        <v>7.2988659999999994</v>
      </c>
      <c r="T42" s="301"/>
      <c r="U42" s="290">
        <f t="shared" si="3"/>
        <v>7.3</v>
      </c>
      <c r="V42" s="302" t="s">
        <v>48</v>
      </c>
    </row>
    <row r="43" spans="1:22" s="172" customFormat="1" ht="20.25" customHeight="1">
      <c r="A43" s="263">
        <f t="shared" si="2"/>
        <v>42</v>
      </c>
      <c r="B43" s="263" t="s">
        <v>1263</v>
      </c>
      <c r="C43" s="264">
        <f t="shared" si="1"/>
        <v>42</v>
      </c>
      <c r="D43" s="265" t="s">
        <v>1320</v>
      </c>
      <c r="E43" s="266"/>
      <c r="F43" s="267"/>
      <c r="G43" s="267"/>
      <c r="H43" s="268"/>
      <c r="I43" s="268"/>
      <c r="J43" s="269"/>
      <c r="K43" s="269"/>
      <c r="L43" s="269"/>
      <c r="M43" s="304"/>
      <c r="N43" s="271"/>
      <c r="O43" s="280"/>
      <c r="P43" s="271"/>
      <c r="Q43" s="311"/>
      <c r="R43" s="300"/>
      <c r="S43" s="312"/>
      <c r="T43" s="313"/>
      <c r="U43" s="312"/>
      <c r="V43" s="302"/>
    </row>
    <row r="44" spans="1:22" s="172" customFormat="1" ht="20.25" customHeight="1">
      <c r="A44" s="263">
        <f t="shared" si="2"/>
        <v>43</v>
      </c>
      <c r="B44" s="263" t="s">
        <v>1263</v>
      </c>
      <c r="C44" s="264">
        <f t="shared" si="1"/>
        <v>43</v>
      </c>
      <c r="D44" s="265" t="s">
        <v>1321</v>
      </c>
      <c r="E44" s="279">
        <f>C11</f>
        <v>10</v>
      </c>
      <c r="F44" s="267"/>
      <c r="G44" s="267"/>
      <c r="H44" s="268"/>
      <c r="I44" s="268"/>
      <c r="J44" s="269"/>
      <c r="K44" s="269"/>
      <c r="L44" s="269"/>
      <c r="M44" s="304"/>
      <c r="N44" s="271"/>
      <c r="O44" s="280"/>
      <c r="P44" s="271"/>
      <c r="Q44" s="311"/>
      <c r="R44" s="300"/>
      <c r="S44" s="312"/>
      <c r="T44" s="313"/>
      <c r="U44" s="312"/>
      <c r="V44" s="302"/>
    </row>
    <row r="45" spans="1:22" s="172" customFormat="1" ht="20.25" customHeight="1">
      <c r="A45" s="263" t="str">
        <f t="shared" si="2"/>
        <v/>
      </c>
      <c r="B45" s="263"/>
      <c r="C45" s="264">
        <f t="shared" si="1"/>
        <v>44</v>
      </c>
      <c r="D45" s="277" t="s">
        <v>1322</v>
      </c>
      <c r="E45" s="278"/>
      <c r="F45" s="267"/>
      <c r="G45" s="267" t="s">
        <v>66</v>
      </c>
      <c r="H45" s="314">
        <v>60</v>
      </c>
      <c r="I45" s="314"/>
      <c r="J45" s="269"/>
      <c r="K45" s="269"/>
      <c r="L45" s="269"/>
      <c r="M45" s="304">
        <v>1</v>
      </c>
      <c r="N45" s="296" t="s">
        <v>81</v>
      </c>
      <c r="O45" s="272">
        <v>1</v>
      </c>
      <c r="P45" s="296" t="s">
        <v>81</v>
      </c>
      <c r="Q45" s="309">
        <v>2</v>
      </c>
      <c r="R45" s="300" t="s">
        <v>41</v>
      </c>
      <c r="S45" s="290">
        <f t="shared" si="5"/>
        <v>2</v>
      </c>
      <c r="T45" s="301"/>
      <c r="U45" s="290">
        <f t="shared" si="3"/>
        <v>2</v>
      </c>
      <c r="V45" s="276" t="s">
        <v>42</v>
      </c>
    </row>
    <row r="46" spans="1:22" s="172" customFormat="1" ht="20.25" customHeight="1">
      <c r="A46" s="263" t="str">
        <f t="shared" si="2"/>
        <v/>
      </c>
      <c r="B46" s="263"/>
      <c r="C46" s="264">
        <f t="shared" si="1"/>
        <v>45</v>
      </c>
      <c r="D46" s="277" t="s">
        <v>1323</v>
      </c>
      <c r="E46" s="293">
        <f>C45</f>
        <v>44</v>
      </c>
      <c r="F46" s="267" t="s">
        <v>55</v>
      </c>
      <c r="G46" s="267"/>
      <c r="H46" s="315">
        <f>H45</f>
        <v>60</v>
      </c>
      <c r="I46" s="315"/>
      <c r="J46" s="269"/>
      <c r="K46" s="269"/>
      <c r="L46" s="269"/>
      <c r="M46" s="304">
        <v>1</v>
      </c>
      <c r="N46" s="296" t="s">
        <v>81</v>
      </c>
      <c r="O46" s="272">
        <v>1</v>
      </c>
      <c r="P46" s="296" t="s">
        <v>81</v>
      </c>
      <c r="Q46" s="309">
        <v>5</v>
      </c>
      <c r="R46" s="300" t="s">
        <v>41</v>
      </c>
      <c r="S46" s="290">
        <f t="shared" si="5"/>
        <v>5</v>
      </c>
      <c r="T46" s="301"/>
      <c r="U46" s="290">
        <f t="shared" si="3"/>
        <v>5</v>
      </c>
      <c r="V46" s="276" t="s">
        <v>42</v>
      </c>
    </row>
    <row r="47" spans="1:22" s="172" customFormat="1" ht="20.25" customHeight="1">
      <c r="A47" s="263">
        <f t="shared" si="2"/>
        <v>46</v>
      </c>
      <c r="B47" s="263" t="s">
        <v>1263</v>
      </c>
      <c r="C47" s="264">
        <f t="shared" si="1"/>
        <v>46</v>
      </c>
      <c r="D47" s="265" t="s">
        <v>1324</v>
      </c>
      <c r="E47" s="279">
        <f>C44</f>
        <v>43</v>
      </c>
      <c r="F47" s="267"/>
      <c r="G47" s="267"/>
      <c r="H47" s="268"/>
      <c r="I47" s="268"/>
      <c r="J47" s="269"/>
      <c r="K47" s="269"/>
      <c r="L47" s="269"/>
      <c r="M47" s="304"/>
      <c r="N47" s="271"/>
      <c r="O47" s="280"/>
      <c r="P47" s="271"/>
      <c r="Q47" s="311"/>
      <c r="R47" s="300"/>
      <c r="S47" s="312"/>
      <c r="T47" s="313"/>
      <c r="U47" s="312"/>
      <c r="V47" s="302"/>
    </row>
    <row r="48" spans="1:22" s="172" customFormat="1" ht="20.25" customHeight="1">
      <c r="A48" s="263" t="str">
        <f t="shared" si="2"/>
        <v/>
      </c>
      <c r="B48" s="263"/>
      <c r="C48" s="264">
        <f t="shared" si="1"/>
        <v>47</v>
      </c>
      <c r="D48" s="277" t="s">
        <v>1325</v>
      </c>
      <c r="E48" s="293"/>
      <c r="F48" s="267" t="s">
        <v>55</v>
      </c>
      <c r="G48" s="267"/>
      <c r="H48" s="316">
        <f>H45</f>
        <v>60</v>
      </c>
      <c r="I48" s="316"/>
      <c r="J48" s="314">
        <v>212</v>
      </c>
      <c r="K48" s="322" t="s">
        <v>1274</v>
      </c>
      <c r="L48" s="367" t="str">
        <f>J48&amp;" "&amp;K48</f>
        <v>212 Holes</v>
      </c>
      <c r="M48" s="304">
        <v>1</v>
      </c>
      <c r="N48" s="296" t="s">
        <v>81</v>
      </c>
      <c r="O48" s="297">
        <f>H48*J48*M48/1000</f>
        <v>12.72</v>
      </c>
      <c r="P48" s="271" t="s">
        <v>79</v>
      </c>
      <c r="Q48" s="299">
        <f>1/1.5^1</f>
        <v>0.66666666666666663</v>
      </c>
      <c r="R48" s="300" t="s">
        <v>47</v>
      </c>
      <c r="S48" s="290">
        <f>O48*Q48/24</f>
        <v>0.35333333333333333</v>
      </c>
      <c r="T48" s="301"/>
      <c r="U48" s="290">
        <f t="shared" si="3"/>
        <v>0.35</v>
      </c>
      <c r="V48" s="276" t="s">
        <v>42</v>
      </c>
    </row>
    <row r="49" spans="1:22" s="172" customFormat="1" ht="20.25" customHeight="1">
      <c r="A49" s="263" t="str">
        <f t="shared" si="2"/>
        <v/>
      </c>
      <c r="B49" s="263"/>
      <c r="C49" s="264">
        <f t="shared" si="1"/>
        <v>48</v>
      </c>
      <c r="D49" s="277" t="s">
        <v>1326</v>
      </c>
      <c r="E49" s="293">
        <f t="shared" ref="E49:E53" si="14">C48</f>
        <v>47</v>
      </c>
      <c r="F49" s="267" t="s">
        <v>55</v>
      </c>
      <c r="G49" s="267"/>
      <c r="H49" s="316">
        <f>H45</f>
        <v>60</v>
      </c>
      <c r="I49" s="316"/>
      <c r="J49" s="317">
        <f>J48</f>
        <v>212</v>
      </c>
      <c r="K49" s="317" t="str">
        <f>K48</f>
        <v>Holes</v>
      </c>
      <c r="L49" s="367" t="str">
        <f>J49&amp;" "&amp;K49</f>
        <v>212 Holes</v>
      </c>
      <c r="M49" s="304">
        <v>1</v>
      </c>
      <c r="N49" s="271" t="s">
        <v>81</v>
      </c>
      <c r="O49" s="297" t="str">
        <f>LEFT(L49,SEARCH(" ",L49,1)-1)</f>
        <v>212</v>
      </c>
      <c r="P49" s="271" t="s">
        <v>81</v>
      </c>
      <c r="Q49" s="299">
        <f>1/60*5</f>
        <v>8.3333333333333329E-2</v>
      </c>
      <c r="R49" s="300" t="s">
        <v>47</v>
      </c>
      <c r="S49" s="290">
        <f>O49*Q49/24</f>
        <v>0.73611111111111105</v>
      </c>
      <c r="T49" s="301"/>
      <c r="U49" s="290">
        <f t="shared" si="3"/>
        <v>0.74</v>
      </c>
      <c r="V49" s="276" t="s">
        <v>42</v>
      </c>
    </row>
    <row r="50" spans="1:22" s="172" customFormat="1" ht="20.25" customHeight="1">
      <c r="A50" s="263" t="str">
        <f t="shared" si="2"/>
        <v/>
      </c>
      <c r="B50" s="263"/>
      <c r="C50" s="264">
        <f t="shared" si="1"/>
        <v>49</v>
      </c>
      <c r="D50" s="277" t="s">
        <v>1327</v>
      </c>
      <c r="E50" s="293">
        <f t="shared" si="14"/>
        <v>48</v>
      </c>
      <c r="F50" s="267" t="s">
        <v>55</v>
      </c>
      <c r="G50" s="267"/>
      <c r="H50" s="316">
        <f>H45</f>
        <v>60</v>
      </c>
      <c r="I50" s="316"/>
      <c r="J50" s="269"/>
      <c r="K50" s="269"/>
      <c r="L50" s="269"/>
      <c r="M50" s="304">
        <v>1</v>
      </c>
      <c r="N50" s="296" t="s">
        <v>84</v>
      </c>
      <c r="O50" s="318">
        <v>1</v>
      </c>
      <c r="P50" s="271" t="s">
        <v>84</v>
      </c>
      <c r="Q50" s="306">
        <v>1</v>
      </c>
      <c r="R50" s="300" t="s">
        <v>41</v>
      </c>
      <c r="S50" s="290">
        <f>O50*Q50</f>
        <v>1</v>
      </c>
      <c r="T50" s="301"/>
      <c r="U50" s="290">
        <f t="shared" si="3"/>
        <v>1</v>
      </c>
      <c r="V50" s="276" t="s">
        <v>42</v>
      </c>
    </row>
    <row r="51" spans="1:22" s="172" customFormat="1" ht="20.25" customHeight="1">
      <c r="A51" s="263" t="str">
        <f t="shared" si="2"/>
        <v/>
      </c>
      <c r="B51" s="263"/>
      <c r="C51" s="264">
        <f t="shared" si="1"/>
        <v>50</v>
      </c>
      <c r="D51" s="277" t="s">
        <v>1328</v>
      </c>
      <c r="E51" s="293">
        <f t="shared" si="14"/>
        <v>49</v>
      </c>
      <c r="F51" s="267" t="s">
        <v>55</v>
      </c>
      <c r="G51" s="267"/>
      <c r="H51" s="316">
        <f>H45</f>
        <v>60</v>
      </c>
      <c r="I51" s="316"/>
      <c r="J51" s="269"/>
      <c r="K51" s="269"/>
      <c r="L51" s="269"/>
      <c r="M51" s="304">
        <v>1</v>
      </c>
      <c r="N51" s="296" t="s">
        <v>84</v>
      </c>
      <c r="O51" s="272">
        <v>1</v>
      </c>
      <c r="P51" s="271" t="s">
        <v>84</v>
      </c>
      <c r="Q51" s="309">
        <v>4</v>
      </c>
      <c r="R51" s="300" t="s">
        <v>41</v>
      </c>
      <c r="S51" s="290">
        <f t="shared" si="5"/>
        <v>4</v>
      </c>
      <c r="T51" s="301"/>
      <c r="U51" s="290">
        <f t="shared" si="3"/>
        <v>4</v>
      </c>
      <c r="V51" s="276" t="s">
        <v>42</v>
      </c>
    </row>
    <row r="52" spans="1:22" s="172" customFormat="1" ht="20.25" customHeight="1">
      <c r="A52" s="263" t="str">
        <f t="shared" si="2"/>
        <v/>
      </c>
      <c r="B52" s="263"/>
      <c r="C52" s="264">
        <f t="shared" si="1"/>
        <v>51</v>
      </c>
      <c r="D52" s="277" t="s">
        <v>1329</v>
      </c>
      <c r="E52" s="293">
        <f t="shared" si="14"/>
        <v>50</v>
      </c>
      <c r="F52" s="267" t="s">
        <v>44</v>
      </c>
      <c r="G52" s="267"/>
      <c r="H52" s="316">
        <f>H45</f>
        <v>60</v>
      </c>
      <c r="I52" s="316"/>
      <c r="J52" s="317">
        <f>J49</f>
        <v>212</v>
      </c>
      <c r="K52" s="317" t="str">
        <f>K49</f>
        <v>Holes</v>
      </c>
      <c r="L52" s="367" t="str">
        <f>J52&amp;" "&amp;K52</f>
        <v>212 Holes</v>
      </c>
      <c r="M52" s="304">
        <v>1</v>
      </c>
      <c r="N52" s="271" t="s">
        <v>81</v>
      </c>
      <c r="O52" s="297" t="str">
        <f>LEFT(L52,SEARCH(" ",L52,1)-1)</f>
        <v>212</v>
      </c>
      <c r="P52" s="271" t="s">
        <v>81</v>
      </c>
      <c r="Q52" s="299">
        <f>1/60*3</f>
        <v>0.05</v>
      </c>
      <c r="R52" s="300" t="s">
        <v>87</v>
      </c>
      <c r="S52" s="290">
        <f t="shared" si="5"/>
        <v>10.600000000000001</v>
      </c>
      <c r="T52" s="301"/>
      <c r="U52" s="290">
        <f t="shared" si="3"/>
        <v>10.6</v>
      </c>
      <c r="V52" s="302" t="s">
        <v>48</v>
      </c>
    </row>
    <row r="53" spans="1:22" s="172" customFormat="1" ht="20.25" customHeight="1">
      <c r="A53" s="263" t="str">
        <f t="shared" si="2"/>
        <v/>
      </c>
      <c r="B53" s="263"/>
      <c r="C53" s="264">
        <f t="shared" si="1"/>
        <v>52</v>
      </c>
      <c r="D53" s="277" t="s">
        <v>1330</v>
      </c>
      <c r="E53" s="293">
        <f t="shared" si="14"/>
        <v>51</v>
      </c>
      <c r="F53" s="267" t="s">
        <v>44</v>
      </c>
      <c r="G53" s="267"/>
      <c r="H53" s="268"/>
      <c r="I53" s="268"/>
      <c r="J53" s="269"/>
      <c r="K53" s="269"/>
      <c r="L53" s="269"/>
      <c r="M53" s="304"/>
      <c r="N53" s="271"/>
      <c r="O53" s="272"/>
      <c r="P53" s="271"/>
      <c r="Q53" s="309"/>
      <c r="R53" s="300"/>
      <c r="S53" s="307"/>
      <c r="T53" s="301"/>
      <c r="U53" s="307"/>
      <c r="V53" s="302"/>
    </row>
    <row r="54" spans="1:22" s="172" customFormat="1" ht="20.25" customHeight="1">
      <c r="A54" s="263">
        <f t="shared" si="2"/>
        <v>53</v>
      </c>
      <c r="B54" s="263" t="s">
        <v>1263</v>
      </c>
      <c r="C54" s="264">
        <f t="shared" si="1"/>
        <v>53</v>
      </c>
      <c r="D54" s="265" t="s">
        <v>1331</v>
      </c>
      <c r="E54" s="279">
        <f>C11</f>
        <v>10</v>
      </c>
      <c r="F54" s="267"/>
      <c r="G54" s="267"/>
      <c r="H54" s="268"/>
      <c r="I54" s="268"/>
      <c r="J54" s="269"/>
      <c r="K54" s="269"/>
      <c r="L54" s="269"/>
      <c r="M54" s="304"/>
      <c r="N54" s="271"/>
      <c r="O54" s="280"/>
      <c r="P54" s="271"/>
      <c r="Q54" s="311"/>
      <c r="R54" s="300"/>
      <c r="S54" s="312"/>
      <c r="T54" s="313"/>
      <c r="U54" s="312"/>
      <c r="V54" s="302"/>
    </row>
    <row r="55" spans="1:22" s="172" customFormat="1" ht="20.25" customHeight="1">
      <c r="A55" s="263" t="str">
        <f t="shared" si="2"/>
        <v/>
      </c>
      <c r="B55" s="263"/>
      <c r="C55" s="264">
        <f t="shared" si="1"/>
        <v>54</v>
      </c>
      <c r="D55" s="277" t="s">
        <v>1322</v>
      </c>
      <c r="E55" s="293"/>
      <c r="F55" s="267"/>
      <c r="G55" s="267"/>
      <c r="H55" s="314">
        <v>60</v>
      </c>
      <c r="I55" s="314"/>
      <c r="J55" s="314">
        <v>691</v>
      </c>
      <c r="K55" s="322" t="s">
        <v>1832</v>
      </c>
      <c r="L55" s="367" t="str">
        <f>J55&amp;" "&amp;K55</f>
        <v>691 od</v>
      </c>
      <c r="M55" s="304">
        <v>1</v>
      </c>
      <c r="N55" s="296" t="s">
        <v>81</v>
      </c>
      <c r="O55" s="272">
        <v>1</v>
      </c>
      <c r="P55" s="296" t="s">
        <v>81</v>
      </c>
      <c r="Q55" s="309">
        <v>2</v>
      </c>
      <c r="R55" s="300" t="s">
        <v>41</v>
      </c>
      <c r="S55" s="290">
        <f t="shared" ref="S55:S56" si="15">O55*Q55</f>
        <v>2</v>
      </c>
      <c r="T55" s="301"/>
      <c r="U55" s="290">
        <f t="shared" si="3"/>
        <v>2</v>
      </c>
      <c r="V55" s="276" t="s">
        <v>42</v>
      </c>
    </row>
    <row r="56" spans="1:22" s="172" customFormat="1" ht="20.25" customHeight="1">
      <c r="A56" s="263" t="str">
        <f t="shared" si="2"/>
        <v/>
      </c>
      <c r="B56" s="263"/>
      <c r="C56" s="264">
        <f t="shared" si="1"/>
        <v>55</v>
      </c>
      <c r="D56" s="277" t="s">
        <v>1332</v>
      </c>
      <c r="E56" s="293">
        <f>C55</f>
        <v>54</v>
      </c>
      <c r="F56" s="267" t="s">
        <v>55</v>
      </c>
      <c r="G56" s="267"/>
      <c r="H56" s="315">
        <f>H55</f>
        <v>60</v>
      </c>
      <c r="I56" s="315"/>
      <c r="J56" s="314">
        <v>691</v>
      </c>
      <c r="K56" s="322" t="s">
        <v>1832</v>
      </c>
      <c r="L56" s="367" t="str">
        <f>J56&amp;" "&amp;K56</f>
        <v>691 od</v>
      </c>
      <c r="M56" s="304">
        <v>1</v>
      </c>
      <c r="N56" s="296" t="s">
        <v>81</v>
      </c>
      <c r="O56" s="272">
        <v>1</v>
      </c>
      <c r="P56" s="296" t="s">
        <v>81</v>
      </c>
      <c r="Q56" s="309">
        <v>5</v>
      </c>
      <c r="R56" s="300" t="s">
        <v>41</v>
      </c>
      <c r="S56" s="290">
        <f t="shared" si="15"/>
        <v>5</v>
      </c>
      <c r="T56" s="301"/>
      <c r="U56" s="290">
        <f t="shared" si="3"/>
        <v>5</v>
      </c>
      <c r="V56" s="276" t="s">
        <v>42</v>
      </c>
    </row>
    <row r="57" spans="1:22" s="172" customFormat="1" ht="20.25" customHeight="1">
      <c r="A57" s="263">
        <f t="shared" si="2"/>
        <v>56</v>
      </c>
      <c r="B57" s="263" t="s">
        <v>1263</v>
      </c>
      <c r="C57" s="264">
        <f t="shared" si="1"/>
        <v>56</v>
      </c>
      <c r="D57" s="265" t="s">
        <v>1333</v>
      </c>
      <c r="E57" s="279"/>
      <c r="F57" s="267"/>
      <c r="G57" s="267"/>
      <c r="H57" s="268"/>
      <c r="I57" s="268"/>
      <c r="J57" s="269"/>
      <c r="K57" s="269"/>
      <c r="L57" s="269"/>
      <c r="M57" s="304"/>
      <c r="N57" s="271"/>
      <c r="O57" s="280"/>
      <c r="P57" s="271"/>
      <c r="Q57" s="311"/>
      <c r="R57" s="300"/>
      <c r="S57" s="312"/>
      <c r="T57" s="313"/>
      <c r="U57" s="312"/>
      <c r="V57" s="302"/>
    </row>
    <row r="58" spans="1:22" s="172" customFormat="1" ht="20.25" customHeight="1">
      <c r="A58" s="263" t="str">
        <f t="shared" si="2"/>
        <v/>
      </c>
      <c r="B58" s="263"/>
      <c r="C58" s="264">
        <f t="shared" si="1"/>
        <v>57</v>
      </c>
      <c r="D58" s="277" t="s">
        <v>1334</v>
      </c>
      <c r="E58" s="293"/>
      <c r="F58" s="267" t="s">
        <v>55</v>
      </c>
      <c r="G58" s="267"/>
      <c r="H58" s="316">
        <f>H55</f>
        <v>60</v>
      </c>
      <c r="I58" s="316"/>
      <c r="J58" s="317">
        <f>J48</f>
        <v>212</v>
      </c>
      <c r="K58" s="317" t="str">
        <f>K48</f>
        <v>Holes</v>
      </c>
      <c r="L58" s="367" t="str">
        <f>J58&amp;" "&amp;K58</f>
        <v>212 Holes</v>
      </c>
      <c r="M58" s="304">
        <v>1</v>
      </c>
      <c r="N58" s="296" t="s">
        <v>81</v>
      </c>
      <c r="O58" s="297">
        <f>H58*J58*M58/1000</f>
        <v>12.72</v>
      </c>
      <c r="P58" s="271" t="s">
        <v>79</v>
      </c>
      <c r="Q58" s="299">
        <f>1/1.5^1</f>
        <v>0.66666666666666663</v>
      </c>
      <c r="R58" s="300" t="s">
        <v>47</v>
      </c>
      <c r="S58" s="290">
        <f>O58*Q58/24</f>
        <v>0.35333333333333333</v>
      </c>
      <c r="T58" s="301"/>
      <c r="U58" s="290">
        <f t="shared" si="3"/>
        <v>0.35</v>
      </c>
      <c r="V58" s="276" t="s">
        <v>42</v>
      </c>
    </row>
    <row r="59" spans="1:22" s="172" customFormat="1" ht="20.25" customHeight="1">
      <c r="A59" s="263" t="str">
        <f t="shared" si="2"/>
        <v/>
      </c>
      <c r="B59" s="263"/>
      <c r="C59" s="264">
        <f t="shared" si="1"/>
        <v>58</v>
      </c>
      <c r="D59" s="277" t="s">
        <v>1335</v>
      </c>
      <c r="E59" s="293">
        <f>C58</f>
        <v>57</v>
      </c>
      <c r="F59" s="267" t="s">
        <v>55</v>
      </c>
      <c r="G59" s="267"/>
      <c r="H59" s="316">
        <f>H55</f>
        <v>60</v>
      </c>
      <c r="I59" s="316"/>
      <c r="J59" s="317">
        <f>J58</f>
        <v>212</v>
      </c>
      <c r="K59" s="317" t="str">
        <f>K58</f>
        <v>Holes</v>
      </c>
      <c r="L59" s="367" t="str">
        <f>J59&amp;" "&amp;K59</f>
        <v>212 Holes</v>
      </c>
      <c r="M59" s="304">
        <v>1</v>
      </c>
      <c r="N59" s="271" t="s">
        <v>81</v>
      </c>
      <c r="O59" s="297" t="str">
        <f>LEFT(L59,SEARCH(" ",L59,1)-1)</f>
        <v>212</v>
      </c>
      <c r="P59" s="271" t="s">
        <v>81</v>
      </c>
      <c r="Q59" s="299">
        <f>1/60*5</f>
        <v>8.3333333333333329E-2</v>
      </c>
      <c r="R59" s="300" t="s">
        <v>47</v>
      </c>
      <c r="S59" s="290">
        <f>O59*Q59/24</f>
        <v>0.73611111111111105</v>
      </c>
      <c r="T59" s="301"/>
      <c r="U59" s="290">
        <f t="shared" si="3"/>
        <v>0.74</v>
      </c>
      <c r="V59" s="276" t="s">
        <v>42</v>
      </c>
    </row>
    <row r="60" spans="1:22" s="172" customFormat="1" ht="20.25" customHeight="1">
      <c r="A60" s="263" t="str">
        <f t="shared" si="2"/>
        <v/>
      </c>
      <c r="B60" s="263"/>
      <c r="C60" s="264">
        <f t="shared" si="1"/>
        <v>59</v>
      </c>
      <c r="D60" s="277" t="s">
        <v>1336</v>
      </c>
      <c r="E60" s="293">
        <f>C59</f>
        <v>58</v>
      </c>
      <c r="F60" s="267" t="s">
        <v>55</v>
      </c>
      <c r="G60" s="267"/>
      <c r="H60" s="316">
        <f>H55</f>
        <v>60</v>
      </c>
      <c r="I60" s="316"/>
      <c r="J60" s="269"/>
      <c r="K60" s="269"/>
      <c r="L60" s="269"/>
      <c r="M60" s="304">
        <v>1</v>
      </c>
      <c r="N60" s="296" t="s">
        <v>84</v>
      </c>
      <c r="O60" s="318">
        <v>1</v>
      </c>
      <c r="P60" s="271" t="s">
        <v>84</v>
      </c>
      <c r="Q60" s="306">
        <v>1</v>
      </c>
      <c r="R60" s="300" t="s">
        <v>41</v>
      </c>
      <c r="S60" s="290">
        <f>O60*Q60</f>
        <v>1</v>
      </c>
      <c r="T60" s="301"/>
      <c r="U60" s="290">
        <f t="shared" si="3"/>
        <v>1</v>
      </c>
      <c r="V60" s="276" t="s">
        <v>42</v>
      </c>
    </row>
    <row r="61" spans="1:22" s="172" customFormat="1" ht="20.25" customHeight="1">
      <c r="A61" s="263" t="str">
        <f t="shared" si="2"/>
        <v/>
      </c>
      <c r="B61" s="263"/>
      <c r="C61" s="264">
        <f t="shared" si="1"/>
        <v>60</v>
      </c>
      <c r="D61" s="277" t="s">
        <v>1337</v>
      </c>
      <c r="E61" s="293">
        <f>C60</f>
        <v>59</v>
      </c>
      <c r="F61" s="267" t="s">
        <v>55</v>
      </c>
      <c r="G61" s="267"/>
      <c r="H61" s="316">
        <f>H55</f>
        <v>60</v>
      </c>
      <c r="I61" s="316"/>
      <c r="J61" s="269"/>
      <c r="K61" s="269"/>
      <c r="L61" s="269"/>
      <c r="M61" s="304">
        <v>1</v>
      </c>
      <c r="N61" s="296" t="s">
        <v>84</v>
      </c>
      <c r="O61" s="272">
        <v>1</v>
      </c>
      <c r="P61" s="271" t="s">
        <v>84</v>
      </c>
      <c r="Q61" s="309">
        <v>4</v>
      </c>
      <c r="R61" s="300" t="s">
        <v>41</v>
      </c>
      <c r="S61" s="290">
        <f t="shared" ref="S61:S62" si="16">O61*Q61</f>
        <v>4</v>
      </c>
      <c r="T61" s="301"/>
      <c r="U61" s="290">
        <f t="shared" si="3"/>
        <v>4</v>
      </c>
      <c r="V61" s="276" t="s">
        <v>42</v>
      </c>
    </row>
    <row r="62" spans="1:22" s="172" customFormat="1" ht="20.25" customHeight="1">
      <c r="A62" s="263" t="str">
        <f t="shared" si="2"/>
        <v/>
      </c>
      <c r="B62" s="263"/>
      <c r="C62" s="264">
        <f t="shared" si="1"/>
        <v>61</v>
      </c>
      <c r="D62" s="277" t="s">
        <v>1338</v>
      </c>
      <c r="E62" s="293">
        <f>C61</f>
        <v>60</v>
      </c>
      <c r="F62" s="267" t="s">
        <v>44</v>
      </c>
      <c r="G62" s="267"/>
      <c r="H62" s="316">
        <f>H55</f>
        <v>60</v>
      </c>
      <c r="I62" s="316"/>
      <c r="J62" s="317">
        <f>J59</f>
        <v>212</v>
      </c>
      <c r="K62" s="317" t="str">
        <f>K59</f>
        <v>Holes</v>
      </c>
      <c r="L62" s="367" t="str">
        <f>J62&amp;" "&amp;K62</f>
        <v>212 Holes</v>
      </c>
      <c r="M62" s="304">
        <v>1</v>
      </c>
      <c r="N62" s="271" t="s">
        <v>81</v>
      </c>
      <c r="O62" s="297" t="str">
        <f>LEFT(L62,SEARCH(" ",L62,1)-1)</f>
        <v>212</v>
      </c>
      <c r="P62" s="271" t="s">
        <v>81</v>
      </c>
      <c r="Q62" s="299">
        <f>1/60*3</f>
        <v>0.05</v>
      </c>
      <c r="R62" s="300" t="s">
        <v>87</v>
      </c>
      <c r="S62" s="290">
        <f t="shared" si="16"/>
        <v>10.600000000000001</v>
      </c>
      <c r="T62" s="301"/>
      <c r="U62" s="290">
        <f t="shared" si="3"/>
        <v>10.6</v>
      </c>
      <c r="V62" s="302" t="s">
        <v>48</v>
      </c>
    </row>
    <row r="63" spans="1:22" s="172" customFormat="1" ht="20.25" customHeight="1">
      <c r="A63" s="263" t="str">
        <f t="shared" si="2"/>
        <v/>
      </c>
      <c r="B63" s="263"/>
      <c r="C63" s="264">
        <f t="shared" si="1"/>
        <v>62</v>
      </c>
      <c r="D63" s="277" t="s">
        <v>1339</v>
      </c>
      <c r="E63" s="293">
        <f>C62</f>
        <v>61</v>
      </c>
      <c r="F63" s="267" t="s">
        <v>44</v>
      </c>
      <c r="G63" s="267"/>
      <c r="H63" s="268"/>
      <c r="I63" s="268"/>
      <c r="J63" s="269"/>
      <c r="K63" s="269"/>
      <c r="L63" s="269"/>
      <c r="M63" s="304">
        <v>1</v>
      </c>
      <c r="N63" s="271"/>
      <c r="O63" s="305">
        <v>1050</v>
      </c>
      <c r="P63" s="271" t="s">
        <v>81</v>
      </c>
      <c r="Q63" s="299">
        <f>1/60*3</f>
        <v>0.05</v>
      </c>
      <c r="R63" s="300" t="s">
        <v>53</v>
      </c>
      <c r="S63" s="290">
        <f t="shared" si="5"/>
        <v>52.5</v>
      </c>
      <c r="T63" s="301">
        <v>1</v>
      </c>
      <c r="U63" s="290">
        <f t="shared" si="3"/>
        <v>53.5</v>
      </c>
      <c r="V63" s="302" t="s">
        <v>48</v>
      </c>
    </row>
    <row r="64" spans="1:22" s="172" customFormat="1" ht="20.25" customHeight="1">
      <c r="A64" s="263">
        <f t="shared" si="2"/>
        <v>63</v>
      </c>
      <c r="B64" s="263" t="s">
        <v>1263</v>
      </c>
      <c r="C64" s="264">
        <f t="shared" si="1"/>
        <v>63</v>
      </c>
      <c r="D64" s="265" t="s">
        <v>1340</v>
      </c>
      <c r="E64" s="279">
        <f>C20</f>
        <v>19</v>
      </c>
      <c r="F64" s="278"/>
      <c r="G64" s="278"/>
      <c r="H64" s="268"/>
      <c r="I64" s="268"/>
      <c r="J64" s="269"/>
      <c r="K64" s="269"/>
      <c r="L64" s="269"/>
      <c r="M64" s="319"/>
      <c r="N64" s="271"/>
      <c r="O64" s="280"/>
      <c r="P64" s="271"/>
      <c r="Q64" s="281"/>
      <c r="R64" s="271"/>
      <c r="S64" s="312"/>
      <c r="T64" s="282"/>
      <c r="U64" s="312"/>
      <c r="V64" s="276"/>
    </row>
    <row r="65" spans="1:22" s="172" customFormat="1" ht="20.25" customHeight="1">
      <c r="A65" s="263">
        <f t="shared" si="2"/>
        <v>64</v>
      </c>
      <c r="B65" s="263" t="s">
        <v>1263</v>
      </c>
      <c r="C65" s="264">
        <f t="shared" si="1"/>
        <v>64</v>
      </c>
      <c r="D65" s="265" t="s">
        <v>1341</v>
      </c>
      <c r="E65" s="279">
        <f>C4</f>
        <v>3</v>
      </c>
      <c r="F65" s="267"/>
      <c r="G65" s="267"/>
      <c r="H65" s="268"/>
      <c r="I65" s="268"/>
      <c r="J65" s="269"/>
      <c r="K65" s="269"/>
      <c r="L65" s="269"/>
      <c r="M65" s="319"/>
      <c r="N65" s="271"/>
      <c r="O65" s="280"/>
      <c r="P65" s="271"/>
      <c r="Q65" s="281"/>
      <c r="R65" s="271"/>
      <c r="S65" s="312"/>
      <c r="T65" s="282"/>
      <c r="U65" s="312"/>
      <c r="V65" s="276"/>
    </row>
    <row r="66" spans="1:22" s="172" customFormat="1" ht="20.25" customHeight="1">
      <c r="A66" s="263" t="str">
        <f t="shared" si="2"/>
        <v/>
      </c>
      <c r="B66" s="263"/>
      <c r="C66" s="264">
        <f t="shared" si="1"/>
        <v>65</v>
      </c>
      <c r="D66" s="320" t="s">
        <v>1342</v>
      </c>
      <c r="E66" s="293"/>
      <c r="F66" s="267" t="s">
        <v>44</v>
      </c>
      <c r="G66" s="267"/>
      <c r="H66" s="316">
        <v>26</v>
      </c>
      <c r="I66" s="322" t="s">
        <v>1846</v>
      </c>
      <c r="J66" s="269"/>
      <c r="K66" s="269"/>
      <c r="L66" s="269"/>
      <c r="M66" s="319"/>
      <c r="N66" s="271" t="s">
        <v>81</v>
      </c>
      <c r="O66" s="321">
        <f>M66</f>
        <v>0</v>
      </c>
      <c r="P66" s="271" t="s">
        <v>81</v>
      </c>
      <c r="Q66" s="273">
        <v>1</v>
      </c>
      <c r="R66" s="271"/>
      <c r="S66" s="290">
        <f t="shared" si="5"/>
        <v>0</v>
      </c>
      <c r="T66" s="275">
        <v>1</v>
      </c>
      <c r="U66" s="290">
        <f t="shared" si="3"/>
        <v>1</v>
      </c>
      <c r="V66" s="302" t="s">
        <v>48</v>
      </c>
    </row>
    <row r="67" spans="1:22" s="172" customFormat="1" ht="20.25" customHeight="1">
      <c r="A67" s="263" t="str">
        <f t="shared" si="2"/>
        <v/>
      </c>
      <c r="B67" s="263"/>
      <c r="C67" s="264">
        <f t="shared" si="1"/>
        <v>66</v>
      </c>
      <c r="D67" s="320" t="s">
        <v>1343</v>
      </c>
      <c r="E67" s="293">
        <f>C66</f>
        <v>65</v>
      </c>
      <c r="F67" s="267" t="s">
        <v>44</v>
      </c>
      <c r="G67" s="267"/>
      <c r="H67" s="322">
        <v>2</v>
      </c>
      <c r="I67" s="322" t="s">
        <v>1846</v>
      </c>
      <c r="J67" s="269"/>
      <c r="K67" s="269"/>
      <c r="L67" s="269"/>
      <c r="M67" s="319"/>
      <c r="N67" s="271" t="s">
        <v>81</v>
      </c>
      <c r="O67" s="321">
        <f>M67</f>
        <v>0</v>
      </c>
      <c r="P67" s="271" t="s">
        <v>81</v>
      </c>
      <c r="Q67" s="273">
        <v>0.5</v>
      </c>
      <c r="R67" s="271"/>
      <c r="S67" s="290">
        <f t="shared" si="5"/>
        <v>0</v>
      </c>
      <c r="T67" s="275">
        <v>1</v>
      </c>
      <c r="U67" s="290">
        <f t="shared" si="3"/>
        <v>1</v>
      </c>
      <c r="V67" s="302" t="s">
        <v>48</v>
      </c>
    </row>
    <row r="68" spans="1:22" s="172" customFormat="1" ht="20.25" customHeight="1">
      <c r="A68" s="263" t="str">
        <f t="shared" si="2"/>
        <v/>
      </c>
      <c r="B68" s="263"/>
      <c r="C68" s="264">
        <f t="shared" ref="C68:C131" si="17">C67+1</f>
        <v>67</v>
      </c>
      <c r="D68" s="320" t="s">
        <v>1344</v>
      </c>
      <c r="E68" s="293">
        <f>C67</f>
        <v>66</v>
      </c>
      <c r="F68" s="267" t="s">
        <v>44</v>
      </c>
      <c r="G68" s="267"/>
      <c r="H68" s="268"/>
      <c r="I68" s="268"/>
      <c r="J68" s="269"/>
      <c r="K68" s="269"/>
      <c r="L68" s="269"/>
      <c r="M68" s="319"/>
      <c r="N68" s="271" t="s">
        <v>81</v>
      </c>
      <c r="O68" s="321">
        <f>M68</f>
        <v>0</v>
      </c>
      <c r="P68" s="271" t="s">
        <v>81</v>
      </c>
      <c r="Q68" s="273">
        <v>0.5</v>
      </c>
      <c r="R68" s="271"/>
      <c r="S68" s="290">
        <f t="shared" si="5"/>
        <v>0</v>
      </c>
      <c r="T68" s="275">
        <v>1</v>
      </c>
      <c r="U68" s="290">
        <f t="shared" si="3"/>
        <v>1</v>
      </c>
      <c r="V68" s="302" t="s">
        <v>48</v>
      </c>
    </row>
    <row r="69" spans="1:22" s="172" customFormat="1" ht="20.25" customHeight="1">
      <c r="A69" s="263">
        <f t="shared" si="2"/>
        <v>68</v>
      </c>
      <c r="B69" s="263" t="s">
        <v>1263</v>
      </c>
      <c r="C69" s="264">
        <f t="shared" si="17"/>
        <v>68</v>
      </c>
      <c r="D69" s="265" t="s">
        <v>1345</v>
      </c>
      <c r="E69" s="279">
        <f>C65</f>
        <v>64</v>
      </c>
      <c r="F69" s="267"/>
      <c r="G69" s="267"/>
      <c r="H69" s="268"/>
      <c r="I69" s="268"/>
      <c r="J69" s="269"/>
      <c r="K69" s="269"/>
      <c r="L69" s="269"/>
      <c r="M69" s="319"/>
      <c r="N69" s="271"/>
      <c r="O69" s="280"/>
      <c r="P69" s="271"/>
      <c r="Q69" s="281"/>
      <c r="R69" s="271"/>
      <c r="S69" s="312"/>
      <c r="T69" s="282"/>
      <c r="U69" s="312"/>
      <c r="V69" s="276"/>
    </row>
    <row r="70" spans="1:22" s="172" customFormat="1" ht="20.25" customHeight="1">
      <c r="A70" s="263" t="str">
        <f t="shared" si="2"/>
        <v/>
      </c>
      <c r="B70" s="263"/>
      <c r="C70" s="264">
        <f t="shared" si="17"/>
        <v>69</v>
      </c>
      <c r="D70" s="323" t="s">
        <v>1342</v>
      </c>
      <c r="E70" s="293"/>
      <c r="F70" s="267" t="s">
        <v>52</v>
      </c>
      <c r="G70" s="267"/>
      <c r="H70" s="317">
        <f>H66</f>
        <v>26</v>
      </c>
      <c r="I70" s="317" t="str">
        <f>I66</f>
        <v>nb</v>
      </c>
      <c r="J70" s="269"/>
      <c r="K70" s="269"/>
      <c r="L70" s="269"/>
      <c r="M70" s="319"/>
      <c r="N70" s="271" t="s">
        <v>81</v>
      </c>
      <c r="O70" s="321">
        <f>M70</f>
        <v>0</v>
      </c>
      <c r="P70" s="271" t="s">
        <v>81</v>
      </c>
      <c r="Q70" s="273">
        <v>0</v>
      </c>
      <c r="R70" s="271"/>
      <c r="S70" s="290">
        <f t="shared" si="5"/>
        <v>0</v>
      </c>
      <c r="T70" s="275">
        <v>0</v>
      </c>
      <c r="U70" s="307"/>
      <c r="V70" s="302" t="s">
        <v>48</v>
      </c>
    </row>
    <row r="71" spans="1:22" s="172" customFormat="1" ht="20.25" customHeight="1">
      <c r="A71" s="263" t="str">
        <f t="shared" si="2"/>
        <v/>
      </c>
      <c r="B71" s="263"/>
      <c r="C71" s="264">
        <f t="shared" si="17"/>
        <v>70</v>
      </c>
      <c r="D71" s="323" t="s">
        <v>1343</v>
      </c>
      <c r="E71" s="293">
        <f>C70</f>
        <v>69</v>
      </c>
      <c r="F71" s="267" t="s">
        <v>52</v>
      </c>
      <c r="G71" s="267"/>
      <c r="H71" s="317">
        <f>H67</f>
        <v>2</v>
      </c>
      <c r="I71" s="317" t="str">
        <f>I67</f>
        <v>nb</v>
      </c>
      <c r="J71" s="269"/>
      <c r="K71" s="269"/>
      <c r="L71" s="269"/>
      <c r="M71" s="319"/>
      <c r="N71" s="271" t="s">
        <v>81</v>
      </c>
      <c r="O71" s="321">
        <f>M71</f>
        <v>0</v>
      </c>
      <c r="P71" s="271" t="s">
        <v>81</v>
      </c>
      <c r="Q71" s="273">
        <v>0</v>
      </c>
      <c r="R71" s="271"/>
      <c r="S71" s="290">
        <f t="shared" si="5"/>
        <v>0</v>
      </c>
      <c r="T71" s="275">
        <v>0</v>
      </c>
      <c r="U71" s="307"/>
      <c r="V71" s="302" t="s">
        <v>48</v>
      </c>
    </row>
    <row r="72" spans="1:22" s="172" customFormat="1" ht="20.25" customHeight="1">
      <c r="A72" s="263" t="str">
        <f t="shared" si="2"/>
        <v/>
      </c>
      <c r="B72" s="263"/>
      <c r="C72" s="264">
        <f t="shared" si="17"/>
        <v>71</v>
      </c>
      <c r="D72" s="323" t="s">
        <v>1344</v>
      </c>
      <c r="E72" s="293">
        <f>C71</f>
        <v>70</v>
      </c>
      <c r="F72" s="267" t="s">
        <v>52</v>
      </c>
      <c r="G72" s="267"/>
      <c r="H72" s="268"/>
      <c r="I72" s="268"/>
      <c r="J72" s="269"/>
      <c r="K72" s="269"/>
      <c r="L72" s="269"/>
      <c r="M72" s="319"/>
      <c r="N72" s="271" t="s">
        <v>81</v>
      </c>
      <c r="O72" s="321">
        <f>M72</f>
        <v>0</v>
      </c>
      <c r="P72" s="271" t="s">
        <v>81</v>
      </c>
      <c r="Q72" s="273">
        <v>0</v>
      </c>
      <c r="R72" s="271"/>
      <c r="S72" s="290">
        <f t="shared" si="5"/>
        <v>0</v>
      </c>
      <c r="T72" s="275">
        <v>0</v>
      </c>
      <c r="U72" s="307"/>
      <c r="V72" s="302" t="s">
        <v>48</v>
      </c>
    </row>
    <row r="73" spans="1:22" s="172" customFormat="1" ht="20.25" customHeight="1">
      <c r="A73" s="263">
        <f t="shared" si="2"/>
        <v>72</v>
      </c>
      <c r="B73" s="263" t="s">
        <v>1263</v>
      </c>
      <c r="C73" s="264">
        <f t="shared" si="17"/>
        <v>72</v>
      </c>
      <c r="D73" s="265" t="s">
        <v>1346</v>
      </c>
      <c r="E73" s="279">
        <f>C69</f>
        <v>68</v>
      </c>
      <c r="F73" s="267"/>
      <c r="G73" s="267"/>
      <c r="H73" s="268"/>
      <c r="I73" s="268"/>
      <c r="J73" s="269"/>
      <c r="K73" s="269"/>
      <c r="L73" s="269"/>
      <c r="M73" s="319"/>
      <c r="N73" s="271"/>
      <c r="O73" s="280"/>
      <c r="P73" s="271"/>
      <c r="Q73" s="281"/>
      <c r="R73" s="271"/>
      <c r="S73" s="312"/>
      <c r="T73" s="282"/>
      <c r="U73" s="312"/>
      <c r="V73" s="276"/>
    </row>
    <row r="74" spans="1:22" s="172" customFormat="1" ht="20.25" customHeight="1">
      <c r="A74" s="263" t="str">
        <f t="shared" si="2"/>
        <v/>
      </c>
      <c r="B74" s="263"/>
      <c r="C74" s="264">
        <f t="shared" si="17"/>
        <v>73</v>
      </c>
      <c r="D74" s="320" t="s">
        <v>1342</v>
      </c>
      <c r="E74" s="293"/>
      <c r="F74" s="267" t="s">
        <v>52</v>
      </c>
      <c r="G74" s="267"/>
      <c r="H74" s="317">
        <f>H66</f>
        <v>26</v>
      </c>
      <c r="I74" s="317" t="str">
        <f>I66</f>
        <v>nb</v>
      </c>
      <c r="J74" s="269"/>
      <c r="K74" s="269"/>
      <c r="L74" s="269"/>
      <c r="M74" s="319"/>
      <c r="N74" s="271" t="s">
        <v>81</v>
      </c>
      <c r="O74" s="272">
        <v>2</v>
      </c>
      <c r="P74" s="271" t="s">
        <v>81</v>
      </c>
      <c r="Q74" s="273">
        <v>4</v>
      </c>
      <c r="R74" s="271"/>
      <c r="S74" s="290">
        <f t="shared" si="5"/>
        <v>8</v>
      </c>
      <c r="T74" s="275">
        <v>0</v>
      </c>
      <c r="U74" s="290">
        <f t="shared" si="3"/>
        <v>8</v>
      </c>
      <c r="V74" s="302" t="s">
        <v>48</v>
      </c>
    </row>
    <row r="75" spans="1:22" s="172" customFormat="1" ht="20.25" customHeight="1">
      <c r="A75" s="263" t="str">
        <f t="shared" si="2"/>
        <v/>
      </c>
      <c r="B75" s="263"/>
      <c r="C75" s="264">
        <f t="shared" si="17"/>
        <v>74</v>
      </c>
      <c r="D75" s="320" t="s">
        <v>1343</v>
      </c>
      <c r="E75" s="293">
        <f>C74</f>
        <v>73</v>
      </c>
      <c r="F75" s="267" t="s">
        <v>52</v>
      </c>
      <c r="G75" s="267"/>
      <c r="H75" s="317">
        <f>H67</f>
        <v>2</v>
      </c>
      <c r="I75" s="317" t="str">
        <f>I67</f>
        <v>nb</v>
      </c>
      <c r="J75" s="269"/>
      <c r="K75" s="269"/>
      <c r="L75" s="269"/>
      <c r="M75" s="319"/>
      <c r="N75" s="271" t="s">
        <v>81</v>
      </c>
      <c r="O75" s="272">
        <v>2</v>
      </c>
      <c r="P75" s="271" t="s">
        <v>81</v>
      </c>
      <c r="Q75" s="273">
        <v>0</v>
      </c>
      <c r="R75" s="271"/>
      <c r="S75" s="290">
        <f t="shared" si="5"/>
        <v>0</v>
      </c>
      <c r="T75" s="275">
        <v>0</v>
      </c>
      <c r="U75" s="307"/>
      <c r="V75" s="302" t="s">
        <v>48</v>
      </c>
    </row>
    <row r="76" spans="1:22" s="172" customFormat="1" ht="20.25" customHeight="1">
      <c r="A76" s="263" t="str">
        <f t="shared" si="2"/>
        <v/>
      </c>
      <c r="B76" s="263"/>
      <c r="C76" s="264">
        <f t="shared" si="17"/>
        <v>75</v>
      </c>
      <c r="D76" s="320" t="s">
        <v>1315</v>
      </c>
      <c r="E76" s="293">
        <f>C75</f>
        <v>74</v>
      </c>
      <c r="F76" s="267" t="s">
        <v>52</v>
      </c>
      <c r="G76" s="267"/>
      <c r="H76" s="268"/>
      <c r="I76" s="268"/>
      <c r="J76" s="269"/>
      <c r="K76" s="269"/>
      <c r="L76" s="269"/>
      <c r="M76" s="319"/>
      <c r="N76" s="271" t="s">
        <v>81</v>
      </c>
      <c r="O76" s="272">
        <v>4</v>
      </c>
      <c r="P76" s="271" t="s">
        <v>81</v>
      </c>
      <c r="Q76" s="273">
        <v>0</v>
      </c>
      <c r="R76" s="271"/>
      <c r="S76" s="290">
        <f t="shared" si="5"/>
        <v>0</v>
      </c>
      <c r="T76" s="275">
        <v>0</v>
      </c>
      <c r="U76" s="307"/>
      <c r="V76" s="302" t="s">
        <v>48</v>
      </c>
    </row>
    <row r="77" spans="1:22" s="172" customFormat="1" ht="20.25" customHeight="1">
      <c r="A77" s="263">
        <f t="shared" si="2"/>
        <v>76</v>
      </c>
      <c r="B77" s="263" t="s">
        <v>1263</v>
      </c>
      <c r="C77" s="264">
        <f t="shared" si="17"/>
        <v>76</v>
      </c>
      <c r="D77" s="265" t="s">
        <v>1347</v>
      </c>
      <c r="E77" s="279">
        <f>C73</f>
        <v>72</v>
      </c>
      <c r="F77" s="267"/>
      <c r="G77" s="267"/>
      <c r="H77" s="268"/>
      <c r="I77" s="268"/>
      <c r="J77" s="269"/>
      <c r="K77" s="269"/>
      <c r="L77" s="269"/>
      <c r="M77" s="319"/>
      <c r="N77" s="271"/>
      <c r="O77" s="280"/>
      <c r="P77" s="271"/>
      <c r="Q77" s="281"/>
      <c r="R77" s="271"/>
      <c r="S77" s="312"/>
      <c r="T77" s="282"/>
      <c r="U77" s="312"/>
      <c r="V77" s="276"/>
    </row>
    <row r="78" spans="1:22" s="172" customFormat="1" ht="20.25" customHeight="1">
      <c r="A78" s="263" t="str">
        <f t="shared" si="2"/>
        <v/>
      </c>
      <c r="B78" s="263"/>
      <c r="C78" s="264">
        <f t="shared" si="17"/>
        <v>77</v>
      </c>
      <c r="D78" s="323" t="s">
        <v>1342</v>
      </c>
      <c r="E78" s="293"/>
      <c r="F78" s="267" t="s">
        <v>111</v>
      </c>
      <c r="G78" s="267"/>
      <c r="H78" s="317">
        <f>H66</f>
        <v>26</v>
      </c>
      <c r="I78" s="317"/>
      <c r="J78" s="269"/>
      <c r="K78" s="269"/>
      <c r="L78" s="269"/>
      <c r="M78" s="319"/>
      <c r="N78" s="296" t="s">
        <v>81</v>
      </c>
      <c r="O78" s="272">
        <v>2</v>
      </c>
      <c r="P78" s="296" t="s">
        <v>81</v>
      </c>
      <c r="Q78" s="273">
        <v>4</v>
      </c>
      <c r="R78" s="271" t="s">
        <v>112</v>
      </c>
      <c r="S78" s="290">
        <f t="shared" si="5"/>
        <v>8</v>
      </c>
      <c r="T78" s="275">
        <v>1</v>
      </c>
      <c r="U78" s="290">
        <f t="shared" si="3"/>
        <v>9</v>
      </c>
      <c r="V78" s="302" t="s">
        <v>48</v>
      </c>
    </row>
    <row r="79" spans="1:22" s="172" customFormat="1" ht="20.25" customHeight="1">
      <c r="A79" s="263" t="str">
        <f t="shared" si="2"/>
        <v/>
      </c>
      <c r="B79" s="263"/>
      <c r="C79" s="264">
        <f t="shared" si="17"/>
        <v>78</v>
      </c>
      <c r="D79" s="323" t="s">
        <v>1343</v>
      </c>
      <c r="E79" s="293">
        <f>C78</f>
        <v>77</v>
      </c>
      <c r="F79" s="267" t="s">
        <v>111</v>
      </c>
      <c r="G79" s="267"/>
      <c r="H79" s="317">
        <f>H67</f>
        <v>2</v>
      </c>
      <c r="I79" s="317"/>
      <c r="J79" s="269"/>
      <c r="K79" s="269"/>
      <c r="L79" s="269"/>
      <c r="M79" s="319"/>
      <c r="N79" s="296" t="s">
        <v>81</v>
      </c>
      <c r="O79" s="272">
        <v>2</v>
      </c>
      <c r="P79" s="296" t="s">
        <v>81</v>
      </c>
      <c r="Q79" s="273">
        <v>0</v>
      </c>
      <c r="R79" s="271" t="s">
        <v>112</v>
      </c>
      <c r="S79" s="290">
        <f t="shared" si="5"/>
        <v>0</v>
      </c>
      <c r="T79" s="275">
        <v>1</v>
      </c>
      <c r="U79" s="290">
        <f t="shared" si="3"/>
        <v>1</v>
      </c>
      <c r="V79" s="302" t="s">
        <v>48</v>
      </c>
    </row>
    <row r="80" spans="1:22" s="172" customFormat="1" ht="20.25" customHeight="1">
      <c r="A80" s="263" t="str">
        <f t="shared" si="2"/>
        <v/>
      </c>
      <c r="B80" s="263"/>
      <c r="C80" s="264">
        <f t="shared" si="17"/>
        <v>79</v>
      </c>
      <c r="D80" s="323" t="s">
        <v>1315</v>
      </c>
      <c r="E80" s="293">
        <f>C79</f>
        <v>78</v>
      </c>
      <c r="F80" s="267" t="s">
        <v>111</v>
      </c>
      <c r="G80" s="267"/>
      <c r="H80" s="268"/>
      <c r="I80" s="268"/>
      <c r="J80" s="269"/>
      <c r="K80" s="269"/>
      <c r="L80" s="269"/>
      <c r="M80" s="319"/>
      <c r="N80" s="296" t="s">
        <v>81</v>
      </c>
      <c r="O80" s="272">
        <v>4</v>
      </c>
      <c r="P80" s="296" t="s">
        <v>81</v>
      </c>
      <c r="Q80" s="273">
        <v>0.25</v>
      </c>
      <c r="R80" s="271" t="s">
        <v>112</v>
      </c>
      <c r="S80" s="290">
        <f t="shared" si="5"/>
        <v>1</v>
      </c>
      <c r="T80" s="275">
        <v>1</v>
      </c>
      <c r="U80" s="290">
        <f t="shared" si="3"/>
        <v>2</v>
      </c>
      <c r="V80" s="302" t="s">
        <v>48</v>
      </c>
    </row>
    <row r="81" spans="1:22" s="172" customFormat="1" ht="20.25" customHeight="1">
      <c r="A81" s="263">
        <f t="shared" si="2"/>
        <v>80</v>
      </c>
      <c r="B81" s="263" t="s">
        <v>1263</v>
      </c>
      <c r="C81" s="264">
        <f t="shared" si="17"/>
        <v>80</v>
      </c>
      <c r="D81" s="265" t="s">
        <v>1348</v>
      </c>
      <c r="E81" s="279">
        <f>C77</f>
        <v>76</v>
      </c>
      <c r="F81" s="267"/>
      <c r="G81" s="267"/>
      <c r="H81" s="268"/>
      <c r="I81" s="268"/>
      <c r="J81" s="269"/>
      <c r="K81" s="269"/>
      <c r="L81" s="269"/>
      <c r="M81" s="319"/>
      <c r="N81" s="271"/>
      <c r="O81" s="280"/>
      <c r="P81" s="271"/>
      <c r="Q81" s="281"/>
      <c r="R81" s="271"/>
      <c r="S81" s="312"/>
      <c r="T81" s="282"/>
      <c r="U81" s="312"/>
      <c r="V81" s="276"/>
    </row>
    <row r="82" spans="1:22" s="172" customFormat="1" ht="20.25" customHeight="1">
      <c r="A82" s="263" t="str">
        <f t="shared" si="2"/>
        <v/>
      </c>
      <c r="B82" s="263"/>
      <c r="C82" s="264">
        <f t="shared" si="17"/>
        <v>81</v>
      </c>
      <c r="D82" s="320" t="s">
        <v>1342</v>
      </c>
      <c r="E82" s="293"/>
      <c r="F82" s="267" t="s">
        <v>115</v>
      </c>
      <c r="G82" s="267"/>
      <c r="H82" s="316">
        <v>18</v>
      </c>
      <c r="I82" s="316"/>
      <c r="J82" s="316"/>
      <c r="K82" s="316"/>
      <c r="L82" s="367" t="str">
        <f>J82&amp;" "&amp;K82</f>
        <v xml:space="preserve"> </v>
      </c>
      <c r="M82" s="319"/>
      <c r="N82" s="296" t="s">
        <v>81</v>
      </c>
      <c r="O82" s="297" t="e">
        <f>LEFT(L82,SEARCH(" ",L82,1)-1)*M82*0.001</f>
        <v>#VALUE!</v>
      </c>
      <c r="P82" s="296" t="s">
        <v>81</v>
      </c>
      <c r="Q82" s="324">
        <f>6.12</f>
        <v>6.12</v>
      </c>
      <c r="R82" s="271" t="s">
        <v>112</v>
      </c>
      <c r="S82" s="290" t="e">
        <f>O82*Q82</f>
        <v>#VALUE!</v>
      </c>
      <c r="T82" s="275">
        <v>1</v>
      </c>
      <c r="U82" s="290" t="e">
        <f t="shared" si="3"/>
        <v>#VALUE!</v>
      </c>
      <c r="V82" s="302" t="s">
        <v>48</v>
      </c>
    </row>
    <row r="83" spans="1:22" s="172" customFormat="1" ht="20.25" customHeight="1">
      <c r="A83" s="263" t="str">
        <f t="shared" si="2"/>
        <v/>
      </c>
      <c r="B83" s="263"/>
      <c r="C83" s="264">
        <f t="shared" si="17"/>
        <v>82</v>
      </c>
      <c r="D83" s="320" t="s">
        <v>1343</v>
      </c>
      <c r="E83" s="293">
        <f>C82</f>
        <v>81</v>
      </c>
      <c r="F83" s="267" t="s">
        <v>115</v>
      </c>
      <c r="G83" s="267"/>
      <c r="H83" s="317">
        <f>H71</f>
        <v>2</v>
      </c>
      <c r="I83" s="317"/>
      <c r="J83" s="316"/>
      <c r="K83" s="316"/>
      <c r="L83" s="367" t="str">
        <f>J83&amp;" "&amp;K83</f>
        <v xml:space="preserve"> </v>
      </c>
      <c r="M83" s="319"/>
      <c r="N83" s="296" t="s">
        <v>81</v>
      </c>
      <c r="O83" s="272">
        <v>0</v>
      </c>
      <c r="P83" s="296" t="s">
        <v>81</v>
      </c>
      <c r="Q83" s="325"/>
      <c r="R83" s="271" t="s">
        <v>112</v>
      </c>
      <c r="S83" s="290">
        <f t="shared" si="5"/>
        <v>0</v>
      </c>
      <c r="T83" s="275"/>
      <c r="U83" s="307"/>
      <c r="V83" s="302" t="s">
        <v>48</v>
      </c>
    </row>
    <row r="84" spans="1:22" s="172" customFormat="1" ht="20.25" customHeight="1">
      <c r="A84" s="263" t="str">
        <f t="shared" si="2"/>
        <v/>
      </c>
      <c r="B84" s="263"/>
      <c r="C84" s="264">
        <f t="shared" si="17"/>
        <v>83</v>
      </c>
      <c r="D84" s="320" t="s">
        <v>1315</v>
      </c>
      <c r="E84" s="293">
        <f>C83</f>
        <v>82</v>
      </c>
      <c r="F84" s="267" t="s">
        <v>115</v>
      </c>
      <c r="G84" s="267"/>
      <c r="H84" s="268"/>
      <c r="I84" s="268"/>
      <c r="J84" s="269"/>
      <c r="K84" s="269"/>
      <c r="L84" s="269"/>
      <c r="M84" s="319"/>
      <c r="N84" s="296" t="s">
        <v>81</v>
      </c>
      <c r="O84" s="272">
        <v>4</v>
      </c>
      <c r="P84" s="296" t="s">
        <v>81</v>
      </c>
      <c r="Q84" s="273">
        <v>0.25</v>
      </c>
      <c r="R84" s="271" t="s">
        <v>112</v>
      </c>
      <c r="S84" s="290">
        <f t="shared" si="5"/>
        <v>1</v>
      </c>
      <c r="T84" s="275">
        <v>1</v>
      </c>
      <c r="U84" s="290">
        <f t="shared" si="3"/>
        <v>2</v>
      </c>
      <c r="V84" s="302" t="s">
        <v>48</v>
      </c>
    </row>
    <row r="85" spans="1:22" s="172" customFormat="1" ht="20.25" customHeight="1">
      <c r="A85" s="263">
        <f t="shared" si="2"/>
        <v>84</v>
      </c>
      <c r="B85" s="263" t="s">
        <v>1263</v>
      </c>
      <c r="C85" s="264">
        <f t="shared" si="17"/>
        <v>84</v>
      </c>
      <c r="D85" s="265" t="s">
        <v>1349</v>
      </c>
      <c r="E85" s="279">
        <f>C81</f>
        <v>80</v>
      </c>
      <c r="F85" s="267"/>
      <c r="G85" s="267"/>
      <c r="H85" s="268"/>
      <c r="I85" s="268"/>
      <c r="J85" s="269"/>
      <c r="K85" s="269"/>
      <c r="L85" s="269"/>
      <c r="M85" s="319"/>
      <c r="N85" s="271"/>
      <c r="O85" s="280"/>
      <c r="P85" s="271"/>
      <c r="Q85" s="281"/>
      <c r="R85" s="271"/>
      <c r="S85" s="312"/>
      <c r="T85" s="282"/>
      <c r="U85" s="312"/>
      <c r="V85" s="276"/>
    </row>
    <row r="86" spans="1:22" s="172" customFormat="1" ht="20.25" customHeight="1">
      <c r="A86" s="263" t="str">
        <f t="shared" si="2"/>
        <v/>
      </c>
      <c r="B86" s="263"/>
      <c r="C86" s="264">
        <f t="shared" si="17"/>
        <v>85</v>
      </c>
      <c r="D86" s="323" t="s">
        <v>1342</v>
      </c>
      <c r="E86" s="293"/>
      <c r="F86" s="267" t="s">
        <v>44</v>
      </c>
      <c r="G86" s="267"/>
      <c r="H86" s="317">
        <f>H74</f>
        <v>26</v>
      </c>
      <c r="I86" s="317"/>
      <c r="J86" s="269"/>
      <c r="K86" s="269"/>
      <c r="L86" s="269"/>
      <c r="M86" s="319"/>
      <c r="N86" s="296" t="s">
        <v>81</v>
      </c>
      <c r="O86" s="272">
        <v>1</v>
      </c>
      <c r="P86" s="296" t="s">
        <v>81</v>
      </c>
      <c r="Q86" s="325">
        <v>4</v>
      </c>
      <c r="R86" s="271" t="s">
        <v>112</v>
      </c>
      <c r="S86" s="290">
        <f t="shared" si="5"/>
        <v>4</v>
      </c>
      <c r="T86" s="275">
        <v>1</v>
      </c>
      <c r="U86" s="290">
        <f t="shared" si="3"/>
        <v>5</v>
      </c>
      <c r="V86" s="302" t="s">
        <v>48</v>
      </c>
    </row>
    <row r="87" spans="1:22" s="172" customFormat="1" ht="20.25" customHeight="1">
      <c r="A87" s="263" t="str">
        <f t="shared" si="2"/>
        <v/>
      </c>
      <c r="B87" s="263"/>
      <c r="C87" s="264">
        <f t="shared" si="17"/>
        <v>86</v>
      </c>
      <c r="D87" s="323" t="s">
        <v>1343</v>
      </c>
      <c r="E87" s="293">
        <f>C86</f>
        <v>85</v>
      </c>
      <c r="F87" s="267" t="s">
        <v>44</v>
      </c>
      <c r="G87" s="267"/>
      <c r="H87" s="317">
        <f>H75</f>
        <v>2</v>
      </c>
      <c r="I87" s="317"/>
      <c r="J87" s="269"/>
      <c r="K87" s="269"/>
      <c r="L87" s="269"/>
      <c r="M87" s="319"/>
      <c r="N87" s="296" t="s">
        <v>81</v>
      </c>
      <c r="O87" s="272">
        <v>1</v>
      </c>
      <c r="P87" s="296" t="s">
        <v>81</v>
      </c>
      <c r="Q87" s="325">
        <v>1</v>
      </c>
      <c r="R87" s="271" t="s">
        <v>112</v>
      </c>
      <c r="S87" s="290">
        <f t="shared" si="5"/>
        <v>1</v>
      </c>
      <c r="T87" s="275">
        <v>1</v>
      </c>
      <c r="U87" s="290">
        <f t="shared" si="3"/>
        <v>2</v>
      </c>
      <c r="V87" s="302" t="s">
        <v>48</v>
      </c>
    </row>
    <row r="88" spans="1:22" s="172" customFormat="1" ht="20.25" customHeight="1">
      <c r="A88" s="263" t="str">
        <f t="shared" si="2"/>
        <v/>
      </c>
      <c r="B88" s="263"/>
      <c r="C88" s="264">
        <f t="shared" si="17"/>
        <v>87</v>
      </c>
      <c r="D88" s="323" t="s">
        <v>1315</v>
      </c>
      <c r="E88" s="293">
        <f>C87</f>
        <v>86</v>
      </c>
      <c r="F88" s="267" t="s">
        <v>44</v>
      </c>
      <c r="G88" s="267"/>
      <c r="H88" s="268"/>
      <c r="I88" s="268"/>
      <c r="J88" s="269"/>
      <c r="K88" s="269"/>
      <c r="L88" s="269"/>
      <c r="M88" s="319"/>
      <c r="N88" s="296" t="s">
        <v>81</v>
      </c>
      <c r="O88" s="272">
        <v>1</v>
      </c>
      <c r="P88" s="296" t="s">
        <v>81</v>
      </c>
      <c r="Q88" s="273">
        <v>1</v>
      </c>
      <c r="R88" s="271" t="s">
        <v>112</v>
      </c>
      <c r="S88" s="290">
        <f t="shared" si="5"/>
        <v>1</v>
      </c>
      <c r="T88" s="275">
        <v>1</v>
      </c>
      <c r="U88" s="290">
        <f t="shared" si="3"/>
        <v>2</v>
      </c>
      <c r="V88" s="302" t="s">
        <v>48</v>
      </c>
    </row>
    <row r="89" spans="1:22" s="172" customFormat="1" ht="20.25" customHeight="1">
      <c r="A89" s="263">
        <f t="shared" si="2"/>
        <v>88</v>
      </c>
      <c r="B89" s="263" t="s">
        <v>1263</v>
      </c>
      <c r="C89" s="264">
        <f t="shared" si="17"/>
        <v>88</v>
      </c>
      <c r="D89" s="265" t="s">
        <v>1350</v>
      </c>
      <c r="E89" s="279">
        <f>C85</f>
        <v>84</v>
      </c>
      <c r="F89" s="267"/>
      <c r="G89" s="267"/>
      <c r="H89" s="268"/>
      <c r="I89" s="268"/>
      <c r="J89" s="269"/>
      <c r="K89" s="269"/>
      <c r="L89" s="269"/>
      <c r="M89" s="319"/>
      <c r="N89" s="271"/>
      <c r="O89" s="280"/>
      <c r="P89" s="271"/>
      <c r="Q89" s="281"/>
      <c r="R89" s="271"/>
      <c r="S89" s="312"/>
      <c r="T89" s="282"/>
      <c r="U89" s="312"/>
      <c r="V89" s="276"/>
    </row>
    <row r="90" spans="1:22" s="172" customFormat="1" ht="20.25" customHeight="1">
      <c r="A90" s="263" t="str">
        <f t="shared" si="2"/>
        <v/>
      </c>
      <c r="B90" s="263"/>
      <c r="C90" s="264">
        <f t="shared" si="17"/>
        <v>89</v>
      </c>
      <c r="D90" s="320" t="s">
        <v>1342</v>
      </c>
      <c r="E90" s="293"/>
      <c r="F90" s="267" t="s">
        <v>121</v>
      </c>
      <c r="G90" s="267"/>
      <c r="H90" s="317">
        <f>H78</f>
        <v>26</v>
      </c>
      <c r="I90" s="317"/>
      <c r="J90" s="269"/>
      <c r="K90" s="269"/>
      <c r="L90" s="269"/>
      <c r="M90" s="319"/>
      <c r="N90" s="296" t="s">
        <v>81</v>
      </c>
      <c r="O90" s="272">
        <v>0</v>
      </c>
      <c r="P90" s="296" t="s">
        <v>81</v>
      </c>
      <c r="Q90" s="325"/>
      <c r="R90" s="271" t="s">
        <v>112</v>
      </c>
      <c r="S90" s="290">
        <f t="shared" si="5"/>
        <v>0</v>
      </c>
      <c r="T90" s="275">
        <v>1</v>
      </c>
      <c r="U90" s="290">
        <f t="shared" si="3"/>
        <v>1</v>
      </c>
      <c r="V90" s="302" t="s">
        <v>48</v>
      </c>
    </row>
    <row r="91" spans="1:22" s="172" customFormat="1" ht="20.25" customHeight="1">
      <c r="A91" s="263" t="str">
        <f t="shared" si="2"/>
        <v/>
      </c>
      <c r="B91" s="263"/>
      <c r="C91" s="264">
        <f t="shared" si="17"/>
        <v>90</v>
      </c>
      <c r="D91" s="320" t="s">
        <v>1343</v>
      </c>
      <c r="E91" s="293">
        <f>C90</f>
        <v>89</v>
      </c>
      <c r="F91" s="267" t="s">
        <v>121</v>
      </c>
      <c r="G91" s="267"/>
      <c r="H91" s="317">
        <f>H79</f>
        <v>2</v>
      </c>
      <c r="I91" s="317"/>
      <c r="J91" s="269"/>
      <c r="K91" s="269"/>
      <c r="L91" s="269"/>
      <c r="M91" s="319"/>
      <c r="N91" s="296" t="s">
        <v>81</v>
      </c>
      <c r="O91" s="272">
        <v>0</v>
      </c>
      <c r="P91" s="296" t="s">
        <v>81</v>
      </c>
      <c r="Q91" s="325"/>
      <c r="R91" s="271" t="s">
        <v>112</v>
      </c>
      <c r="S91" s="290">
        <f t="shared" si="5"/>
        <v>0</v>
      </c>
      <c r="T91" s="275">
        <v>1</v>
      </c>
      <c r="U91" s="290">
        <f t="shared" si="3"/>
        <v>1</v>
      </c>
      <c r="V91" s="302" t="s">
        <v>48</v>
      </c>
    </row>
    <row r="92" spans="1:22" s="172" customFormat="1" ht="20.25" customHeight="1">
      <c r="A92" s="263" t="str">
        <f t="shared" ref="A92:A155" si="18">IF(B92="Yes",C92,"")</f>
        <v/>
      </c>
      <c r="B92" s="263"/>
      <c r="C92" s="264">
        <f t="shared" si="17"/>
        <v>91</v>
      </c>
      <c r="D92" s="320" t="s">
        <v>1315</v>
      </c>
      <c r="E92" s="293">
        <f>C91</f>
        <v>90</v>
      </c>
      <c r="F92" s="267" t="s">
        <v>121</v>
      </c>
      <c r="G92" s="267"/>
      <c r="H92" s="268"/>
      <c r="I92" s="268"/>
      <c r="J92" s="269"/>
      <c r="K92" s="269"/>
      <c r="L92" s="269"/>
      <c r="M92" s="319"/>
      <c r="N92" s="296" t="s">
        <v>81</v>
      </c>
      <c r="O92" s="272">
        <v>0</v>
      </c>
      <c r="P92" s="296" t="s">
        <v>81</v>
      </c>
      <c r="Q92" s="273"/>
      <c r="R92" s="271" t="s">
        <v>112</v>
      </c>
      <c r="S92" s="290">
        <f t="shared" si="5"/>
        <v>0</v>
      </c>
      <c r="T92" s="275">
        <v>1</v>
      </c>
      <c r="U92" s="290">
        <f t="shared" ref="U92" si="19">ROUND(S92+T92,2)</f>
        <v>1</v>
      </c>
      <c r="V92" s="302" t="s">
        <v>48</v>
      </c>
    </row>
    <row r="93" spans="1:22" s="172" customFormat="1" ht="20.25" customHeight="1">
      <c r="A93" s="263">
        <f t="shared" si="18"/>
        <v>92</v>
      </c>
      <c r="B93" s="263" t="s">
        <v>1263</v>
      </c>
      <c r="C93" s="264">
        <f t="shared" si="17"/>
        <v>92</v>
      </c>
      <c r="D93" s="265" t="s">
        <v>1351</v>
      </c>
      <c r="E93" s="279">
        <f>C89</f>
        <v>88</v>
      </c>
      <c r="F93" s="267"/>
      <c r="G93" s="267"/>
      <c r="H93" s="268"/>
      <c r="I93" s="268"/>
      <c r="J93" s="269"/>
      <c r="K93" s="269"/>
      <c r="L93" s="269"/>
      <c r="M93" s="319"/>
      <c r="N93" s="271"/>
      <c r="O93" s="280"/>
      <c r="P93" s="271"/>
      <c r="Q93" s="281"/>
      <c r="R93" s="271"/>
      <c r="S93" s="312"/>
      <c r="T93" s="282"/>
      <c r="U93" s="312"/>
      <c r="V93" s="276"/>
    </row>
    <row r="94" spans="1:22" s="172" customFormat="1" ht="20.25" customHeight="1">
      <c r="A94" s="263" t="str">
        <f t="shared" si="18"/>
        <v/>
      </c>
      <c r="B94" s="263"/>
      <c r="C94" s="264">
        <f t="shared" si="17"/>
        <v>93</v>
      </c>
      <c r="D94" s="323" t="s">
        <v>1342</v>
      </c>
      <c r="E94" s="293"/>
      <c r="F94" s="267" t="s">
        <v>121</v>
      </c>
      <c r="G94" s="267"/>
      <c r="H94" s="322">
        <v>18</v>
      </c>
      <c r="I94" s="322"/>
      <c r="J94" s="317">
        <f>J82</f>
        <v>0</v>
      </c>
      <c r="K94" s="317"/>
      <c r="L94" s="367" t="str">
        <f>J94&amp;" "&amp;K94</f>
        <v xml:space="preserve">0 </v>
      </c>
      <c r="M94" s="319"/>
      <c r="N94" s="296" t="s">
        <v>81</v>
      </c>
      <c r="O94" s="297">
        <f>LEFT(L94,SEARCH(" ",L94,1)-1)*M94*0.001</f>
        <v>0</v>
      </c>
      <c r="P94" s="296" t="s">
        <v>81</v>
      </c>
      <c r="Q94" s="325">
        <v>1</v>
      </c>
      <c r="R94" s="271" t="s">
        <v>112</v>
      </c>
      <c r="S94" s="290">
        <f t="shared" ref="S94:S157" si="20">O94*Q94</f>
        <v>0</v>
      </c>
      <c r="T94" s="275">
        <v>1</v>
      </c>
      <c r="U94" s="290">
        <f t="shared" ref="U94:U157" si="21">ROUND(S94+T94,2)</f>
        <v>1</v>
      </c>
      <c r="V94" s="302" t="s">
        <v>48</v>
      </c>
    </row>
    <row r="95" spans="1:22" s="172" customFormat="1" ht="20.25" customHeight="1">
      <c r="A95" s="263" t="str">
        <f t="shared" si="18"/>
        <v/>
      </c>
      <c r="B95" s="263"/>
      <c r="C95" s="264">
        <f t="shared" si="17"/>
        <v>94</v>
      </c>
      <c r="D95" s="323" t="s">
        <v>1343</v>
      </c>
      <c r="E95" s="293">
        <f t="shared" ref="E95:E158" si="22">C94</f>
        <v>93</v>
      </c>
      <c r="F95" s="267" t="s">
        <v>121</v>
      </c>
      <c r="G95" s="267"/>
      <c r="H95" s="316">
        <v>18</v>
      </c>
      <c r="I95" s="316"/>
      <c r="J95" s="308">
        <f>J83</f>
        <v>0</v>
      </c>
      <c r="K95" s="308"/>
      <c r="L95" s="367" t="str">
        <f t="shared" ref="L95" si="23">J95&amp;" "&amp;K95</f>
        <v xml:space="preserve">0 </v>
      </c>
      <c r="M95" s="319"/>
      <c r="N95" s="296" t="s">
        <v>81</v>
      </c>
      <c r="O95" s="297">
        <f>LEFT(L95,SEARCH(" ",L95,1)-1)*M95*0.001</f>
        <v>0</v>
      </c>
      <c r="P95" s="296" t="s">
        <v>81</v>
      </c>
      <c r="Q95" s="325">
        <v>0.5</v>
      </c>
      <c r="R95" s="271" t="s">
        <v>112</v>
      </c>
      <c r="S95" s="290">
        <f t="shared" si="20"/>
        <v>0</v>
      </c>
      <c r="T95" s="275">
        <v>1</v>
      </c>
      <c r="U95" s="290">
        <f t="shared" si="21"/>
        <v>1</v>
      </c>
      <c r="V95" s="302" t="s">
        <v>48</v>
      </c>
    </row>
    <row r="96" spans="1:22" s="172" customFormat="1" ht="20.25" customHeight="1">
      <c r="A96" s="263" t="str">
        <f t="shared" si="18"/>
        <v/>
      </c>
      <c r="B96" s="263"/>
      <c r="C96" s="264">
        <f t="shared" si="17"/>
        <v>95</v>
      </c>
      <c r="D96" s="323" t="s">
        <v>1315</v>
      </c>
      <c r="E96" s="293">
        <f t="shared" si="22"/>
        <v>94</v>
      </c>
      <c r="F96" s="267" t="s">
        <v>121</v>
      </c>
      <c r="G96" s="267"/>
      <c r="H96" s="268"/>
      <c r="I96" s="268"/>
      <c r="J96" s="269"/>
      <c r="K96" s="269"/>
      <c r="L96" s="269"/>
      <c r="M96" s="319"/>
      <c r="N96" s="296" t="s">
        <v>81</v>
      </c>
      <c r="O96" s="272">
        <v>1</v>
      </c>
      <c r="P96" s="296" t="s">
        <v>81</v>
      </c>
      <c r="Q96" s="273">
        <v>1</v>
      </c>
      <c r="R96" s="271" t="s">
        <v>112</v>
      </c>
      <c r="S96" s="290">
        <f t="shared" si="20"/>
        <v>1</v>
      </c>
      <c r="T96" s="275">
        <v>1</v>
      </c>
      <c r="U96" s="290">
        <f t="shared" si="21"/>
        <v>2</v>
      </c>
      <c r="V96" s="302" t="s">
        <v>48</v>
      </c>
    </row>
    <row r="97" spans="1:22" s="172" customFormat="1" ht="20.25" customHeight="1">
      <c r="A97" s="263">
        <f t="shared" si="18"/>
        <v>96</v>
      </c>
      <c r="B97" s="263" t="s">
        <v>1263</v>
      </c>
      <c r="C97" s="264">
        <f t="shared" si="17"/>
        <v>96</v>
      </c>
      <c r="D97" s="265" t="s">
        <v>1352</v>
      </c>
      <c r="E97" s="279">
        <f>C93</f>
        <v>92</v>
      </c>
      <c r="F97" s="267"/>
      <c r="G97" s="267"/>
      <c r="H97" s="268"/>
      <c r="I97" s="268"/>
      <c r="J97" s="269"/>
      <c r="K97" s="269"/>
      <c r="L97" s="269"/>
      <c r="M97" s="319"/>
      <c r="N97" s="271"/>
      <c r="O97" s="280"/>
      <c r="P97" s="271"/>
      <c r="Q97" s="281"/>
      <c r="R97" s="271"/>
      <c r="S97" s="312"/>
      <c r="T97" s="282"/>
      <c r="U97" s="312"/>
      <c r="V97" s="276"/>
    </row>
    <row r="98" spans="1:22" s="172" customFormat="1" ht="20.25" customHeight="1">
      <c r="A98" s="263" t="str">
        <f t="shared" si="18"/>
        <v/>
      </c>
      <c r="B98" s="263"/>
      <c r="C98" s="264">
        <f t="shared" si="17"/>
        <v>97</v>
      </c>
      <c r="D98" s="277" t="s">
        <v>1353</v>
      </c>
      <c r="E98" s="293"/>
      <c r="F98" s="267" t="s">
        <v>44</v>
      </c>
      <c r="G98" s="267"/>
      <c r="H98" s="316">
        <v>26</v>
      </c>
      <c r="I98" s="322" t="s">
        <v>1846</v>
      </c>
      <c r="J98" s="317">
        <f>J94</f>
        <v>0</v>
      </c>
      <c r="K98" s="317"/>
      <c r="L98" s="367" t="str">
        <f t="shared" ref="L98:L99" si="24">J98&amp;" "&amp;K98</f>
        <v xml:space="preserve">0 </v>
      </c>
      <c r="M98" s="319"/>
      <c r="N98" s="271" t="s">
        <v>81</v>
      </c>
      <c r="O98" s="321">
        <f>M98</f>
        <v>0</v>
      </c>
      <c r="P98" s="271" t="s">
        <v>81</v>
      </c>
      <c r="Q98" s="273">
        <v>1</v>
      </c>
      <c r="R98" s="271"/>
      <c r="S98" s="290">
        <f t="shared" ref="S98:S100" si="25">O98*Q98</f>
        <v>0</v>
      </c>
      <c r="T98" s="275">
        <v>1</v>
      </c>
      <c r="U98" s="290">
        <f t="shared" si="21"/>
        <v>1</v>
      </c>
      <c r="V98" s="302" t="s">
        <v>48</v>
      </c>
    </row>
    <row r="99" spans="1:22" s="172" customFormat="1" ht="20.25" customHeight="1">
      <c r="A99" s="263" t="str">
        <f t="shared" si="18"/>
        <v/>
      </c>
      <c r="B99" s="263"/>
      <c r="C99" s="264">
        <f t="shared" si="17"/>
        <v>98</v>
      </c>
      <c r="D99" s="277" t="s">
        <v>1343</v>
      </c>
      <c r="E99" s="293">
        <f t="shared" si="22"/>
        <v>97</v>
      </c>
      <c r="F99" s="267" t="s">
        <v>44</v>
      </c>
      <c r="G99" s="267"/>
      <c r="H99" s="316">
        <v>2</v>
      </c>
      <c r="I99" s="322" t="s">
        <v>1846</v>
      </c>
      <c r="J99" s="317">
        <f>J95</f>
        <v>0</v>
      </c>
      <c r="K99" s="317"/>
      <c r="L99" s="367" t="str">
        <f t="shared" si="24"/>
        <v xml:space="preserve">0 </v>
      </c>
      <c r="M99" s="319"/>
      <c r="N99" s="271" t="s">
        <v>81</v>
      </c>
      <c r="O99" s="321">
        <f>M99</f>
        <v>0</v>
      </c>
      <c r="P99" s="271" t="s">
        <v>81</v>
      </c>
      <c r="Q99" s="273">
        <v>1</v>
      </c>
      <c r="R99" s="271"/>
      <c r="S99" s="290">
        <f t="shared" si="25"/>
        <v>0</v>
      </c>
      <c r="T99" s="275">
        <v>1</v>
      </c>
      <c r="U99" s="290">
        <f t="shared" si="21"/>
        <v>1</v>
      </c>
      <c r="V99" s="302" t="s">
        <v>48</v>
      </c>
    </row>
    <row r="100" spans="1:22" s="172" customFormat="1" ht="20.25" customHeight="1">
      <c r="A100" s="263" t="str">
        <f t="shared" si="18"/>
        <v/>
      </c>
      <c r="B100" s="263"/>
      <c r="C100" s="264">
        <f t="shared" si="17"/>
        <v>99</v>
      </c>
      <c r="D100" s="277" t="s">
        <v>1315</v>
      </c>
      <c r="E100" s="293">
        <f t="shared" si="22"/>
        <v>98</v>
      </c>
      <c r="F100" s="267" t="s">
        <v>44</v>
      </c>
      <c r="G100" s="267"/>
      <c r="H100" s="268"/>
      <c r="I100" s="268"/>
      <c r="J100" s="269"/>
      <c r="K100" s="269"/>
      <c r="L100" s="269"/>
      <c r="M100" s="319"/>
      <c r="N100" s="271" t="s">
        <v>81</v>
      </c>
      <c r="O100" s="321">
        <f>M100</f>
        <v>0</v>
      </c>
      <c r="P100" s="271" t="s">
        <v>81</v>
      </c>
      <c r="Q100" s="273">
        <v>0.5</v>
      </c>
      <c r="R100" s="271"/>
      <c r="S100" s="290">
        <f t="shared" si="25"/>
        <v>0</v>
      </c>
      <c r="T100" s="275">
        <v>1</v>
      </c>
      <c r="U100" s="290">
        <f t="shared" si="21"/>
        <v>1</v>
      </c>
      <c r="V100" s="302" t="s">
        <v>48</v>
      </c>
    </row>
    <row r="101" spans="1:22" s="172" customFormat="1" ht="20.25" customHeight="1">
      <c r="A101" s="263">
        <f t="shared" si="18"/>
        <v>100</v>
      </c>
      <c r="B101" s="263" t="s">
        <v>1263</v>
      </c>
      <c r="C101" s="264">
        <f t="shared" si="17"/>
        <v>100</v>
      </c>
      <c r="D101" s="265" t="s">
        <v>1354</v>
      </c>
      <c r="E101" s="279">
        <f>C97</f>
        <v>96</v>
      </c>
      <c r="F101" s="267"/>
      <c r="G101" s="267"/>
      <c r="H101" s="268"/>
      <c r="I101" s="268"/>
      <c r="J101" s="269"/>
      <c r="K101" s="269"/>
      <c r="L101" s="269"/>
      <c r="M101" s="319"/>
      <c r="N101" s="271"/>
      <c r="O101" s="280"/>
      <c r="P101" s="271"/>
      <c r="Q101" s="281"/>
      <c r="R101" s="271"/>
      <c r="S101" s="312"/>
      <c r="T101" s="282"/>
      <c r="U101" s="312"/>
      <c r="V101" s="276"/>
    </row>
    <row r="102" spans="1:22" s="172" customFormat="1" ht="20.25" customHeight="1">
      <c r="A102" s="263" t="str">
        <f t="shared" si="18"/>
        <v/>
      </c>
      <c r="B102" s="263"/>
      <c r="C102" s="264">
        <f t="shared" si="17"/>
        <v>101</v>
      </c>
      <c r="D102" s="277" t="s">
        <v>1353</v>
      </c>
      <c r="E102" s="293"/>
      <c r="F102" s="267" t="s">
        <v>52</v>
      </c>
      <c r="G102" s="267"/>
      <c r="H102" s="317">
        <f>H98</f>
        <v>26</v>
      </c>
      <c r="I102" s="317" t="str">
        <f>I98</f>
        <v>nb</v>
      </c>
      <c r="J102" s="269"/>
      <c r="K102" s="269"/>
      <c r="L102" s="269"/>
      <c r="M102" s="319"/>
      <c r="N102" s="271" t="s">
        <v>81</v>
      </c>
      <c r="O102" s="321">
        <f>M102</f>
        <v>0</v>
      </c>
      <c r="P102" s="271" t="s">
        <v>81</v>
      </c>
      <c r="Q102" s="273">
        <v>0</v>
      </c>
      <c r="R102" s="271"/>
      <c r="S102" s="290">
        <f t="shared" si="20"/>
        <v>0</v>
      </c>
      <c r="T102" s="275">
        <v>0</v>
      </c>
      <c r="U102" s="307"/>
      <c r="V102" s="302" t="s">
        <v>48</v>
      </c>
    </row>
    <row r="103" spans="1:22" s="172" customFormat="1" ht="20.25" customHeight="1">
      <c r="A103" s="263" t="str">
        <f t="shared" si="18"/>
        <v/>
      </c>
      <c r="B103" s="263"/>
      <c r="C103" s="264">
        <f t="shared" si="17"/>
        <v>102</v>
      </c>
      <c r="D103" s="277" t="s">
        <v>1343</v>
      </c>
      <c r="E103" s="293">
        <f t="shared" si="22"/>
        <v>101</v>
      </c>
      <c r="F103" s="267" t="s">
        <v>52</v>
      </c>
      <c r="G103" s="267"/>
      <c r="H103" s="317">
        <f>H99</f>
        <v>2</v>
      </c>
      <c r="I103" s="317" t="str">
        <f>I99</f>
        <v>nb</v>
      </c>
      <c r="J103" s="269"/>
      <c r="K103" s="269"/>
      <c r="L103" s="269"/>
      <c r="M103" s="319"/>
      <c r="N103" s="271" t="s">
        <v>81</v>
      </c>
      <c r="O103" s="321">
        <f>M103</f>
        <v>0</v>
      </c>
      <c r="P103" s="271" t="s">
        <v>81</v>
      </c>
      <c r="Q103" s="273">
        <v>0</v>
      </c>
      <c r="R103" s="271"/>
      <c r="S103" s="290">
        <f t="shared" si="20"/>
        <v>0</v>
      </c>
      <c r="T103" s="275">
        <v>0</v>
      </c>
      <c r="U103" s="307"/>
      <c r="V103" s="302" t="s">
        <v>48</v>
      </c>
    </row>
    <row r="104" spans="1:22" s="172" customFormat="1" ht="20.25" customHeight="1">
      <c r="A104" s="263" t="str">
        <f t="shared" si="18"/>
        <v/>
      </c>
      <c r="B104" s="263"/>
      <c r="C104" s="264">
        <f t="shared" si="17"/>
        <v>103</v>
      </c>
      <c r="D104" s="277" t="s">
        <v>1315</v>
      </c>
      <c r="E104" s="293">
        <f t="shared" si="22"/>
        <v>102</v>
      </c>
      <c r="F104" s="267" t="s">
        <v>52</v>
      </c>
      <c r="G104" s="267"/>
      <c r="H104" s="268"/>
      <c r="I104" s="268"/>
      <c r="J104" s="269"/>
      <c r="K104" s="269"/>
      <c r="L104" s="269"/>
      <c r="M104" s="319"/>
      <c r="N104" s="271" t="s">
        <v>81</v>
      </c>
      <c r="O104" s="321">
        <f>M104</f>
        <v>0</v>
      </c>
      <c r="P104" s="271" t="s">
        <v>81</v>
      </c>
      <c r="Q104" s="273">
        <v>0</v>
      </c>
      <c r="R104" s="271"/>
      <c r="S104" s="290">
        <f t="shared" si="20"/>
        <v>0</v>
      </c>
      <c r="T104" s="275">
        <v>0</v>
      </c>
      <c r="U104" s="307"/>
      <c r="V104" s="302" t="s">
        <v>48</v>
      </c>
    </row>
    <row r="105" spans="1:22" s="172" customFormat="1" ht="20.25" customHeight="1">
      <c r="A105" s="263">
        <f t="shared" si="18"/>
        <v>104</v>
      </c>
      <c r="B105" s="263" t="s">
        <v>1263</v>
      </c>
      <c r="C105" s="264">
        <f t="shared" si="17"/>
        <v>104</v>
      </c>
      <c r="D105" s="265" t="s">
        <v>1355</v>
      </c>
      <c r="E105" s="279">
        <f>C101</f>
        <v>100</v>
      </c>
      <c r="F105" s="267"/>
      <c r="G105" s="267"/>
      <c r="H105" s="268"/>
      <c r="I105" s="268"/>
      <c r="J105" s="269"/>
      <c r="K105" s="269"/>
      <c r="L105" s="269"/>
      <c r="M105" s="319"/>
      <c r="N105" s="271"/>
      <c r="O105" s="280"/>
      <c r="P105" s="271"/>
      <c r="Q105" s="281"/>
      <c r="R105" s="271"/>
      <c r="S105" s="312"/>
      <c r="T105" s="282"/>
      <c r="U105" s="312"/>
      <c r="V105" s="276"/>
    </row>
    <row r="106" spans="1:22" s="172" customFormat="1" ht="20.25" customHeight="1">
      <c r="A106" s="263" t="str">
        <f t="shared" si="18"/>
        <v/>
      </c>
      <c r="B106" s="263"/>
      <c r="C106" s="264">
        <f t="shared" si="17"/>
        <v>105</v>
      </c>
      <c r="D106" s="277" t="s">
        <v>1353</v>
      </c>
      <c r="E106" s="293"/>
      <c r="F106" s="267" t="s">
        <v>121</v>
      </c>
      <c r="G106" s="267"/>
      <c r="H106" s="317">
        <f>H98</f>
        <v>26</v>
      </c>
      <c r="I106" s="317" t="str">
        <f>I98</f>
        <v>nb</v>
      </c>
      <c r="J106" s="269"/>
      <c r="K106" s="269"/>
      <c r="L106" s="269"/>
      <c r="M106" s="319"/>
      <c r="N106" s="271" t="s">
        <v>81</v>
      </c>
      <c r="O106" s="272">
        <v>2</v>
      </c>
      <c r="P106" s="271" t="s">
        <v>81</v>
      </c>
      <c r="Q106" s="273">
        <v>4</v>
      </c>
      <c r="R106" s="271"/>
      <c r="S106" s="290">
        <f t="shared" si="20"/>
        <v>8</v>
      </c>
      <c r="T106" s="275">
        <v>0</v>
      </c>
      <c r="U106" s="290">
        <f t="shared" si="21"/>
        <v>8</v>
      </c>
      <c r="V106" s="302" t="s">
        <v>48</v>
      </c>
    </row>
    <row r="107" spans="1:22" s="172" customFormat="1" ht="20.25" customHeight="1">
      <c r="A107" s="263" t="str">
        <f t="shared" si="18"/>
        <v/>
      </c>
      <c r="B107" s="263"/>
      <c r="C107" s="264">
        <f t="shared" si="17"/>
        <v>106</v>
      </c>
      <c r="D107" s="277" t="s">
        <v>1343</v>
      </c>
      <c r="E107" s="293">
        <f t="shared" si="22"/>
        <v>105</v>
      </c>
      <c r="F107" s="267" t="s">
        <v>121</v>
      </c>
      <c r="G107" s="267"/>
      <c r="H107" s="317">
        <f>H99</f>
        <v>2</v>
      </c>
      <c r="I107" s="317" t="str">
        <f>I99</f>
        <v>nb</v>
      </c>
      <c r="J107" s="269"/>
      <c r="K107" s="269"/>
      <c r="L107" s="269"/>
      <c r="M107" s="319"/>
      <c r="N107" s="271" t="s">
        <v>81</v>
      </c>
      <c r="O107" s="272">
        <v>2</v>
      </c>
      <c r="P107" s="271" t="s">
        <v>81</v>
      </c>
      <c r="Q107" s="273">
        <v>0</v>
      </c>
      <c r="R107" s="271"/>
      <c r="S107" s="290">
        <f t="shared" si="20"/>
        <v>0</v>
      </c>
      <c r="T107" s="275">
        <v>0</v>
      </c>
      <c r="U107" s="307"/>
      <c r="V107" s="302" t="s">
        <v>48</v>
      </c>
    </row>
    <row r="108" spans="1:22" s="172" customFormat="1" ht="20.25" customHeight="1">
      <c r="A108" s="263" t="str">
        <f t="shared" si="18"/>
        <v/>
      </c>
      <c r="B108" s="263"/>
      <c r="C108" s="264">
        <f t="shared" si="17"/>
        <v>107</v>
      </c>
      <c r="D108" s="277" t="s">
        <v>1315</v>
      </c>
      <c r="E108" s="293">
        <f t="shared" si="22"/>
        <v>106</v>
      </c>
      <c r="F108" s="267" t="s">
        <v>121</v>
      </c>
      <c r="G108" s="267"/>
      <c r="H108" s="268"/>
      <c r="I108" s="268"/>
      <c r="J108" s="269"/>
      <c r="K108" s="269"/>
      <c r="L108" s="269"/>
      <c r="M108" s="319"/>
      <c r="N108" s="271" t="s">
        <v>81</v>
      </c>
      <c r="O108" s="272">
        <v>4</v>
      </c>
      <c r="P108" s="271" t="s">
        <v>81</v>
      </c>
      <c r="Q108" s="273">
        <v>0</v>
      </c>
      <c r="R108" s="271"/>
      <c r="S108" s="290">
        <f t="shared" si="20"/>
        <v>0</v>
      </c>
      <c r="T108" s="275">
        <v>0</v>
      </c>
      <c r="U108" s="307"/>
      <c r="V108" s="302" t="s">
        <v>48</v>
      </c>
    </row>
    <row r="109" spans="1:22" s="172" customFormat="1" ht="20.25" customHeight="1">
      <c r="A109" s="263">
        <f t="shared" si="18"/>
        <v>108</v>
      </c>
      <c r="B109" s="263" t="s">
        <v>1263</v>
      </c>
      <c r="C109" s="264">
        <f t="shared" si="17"/>
        <v>108</v>
      </c>
      <c r="D109" s="265" t="s">
        <v>1356</v>
      </c>
      <c r="E109" s="279">
        <f>C105</f>
        <v>104</v>
      </c>
      <c r="F109" s="267"/>
      <c r="G109" s="267"/>
      <c r="H109" s="268"/>
      <c r="I109" s="268"/>
      <c r="J109" s="269"/>
      <c r="K109" s="269"/>
      <c r="L109" s="269"/>
      <c r="M109" s="319"/>
      <c r="N109" s="271"/>
      <c r="O109" s="280"/>
      <c r="P109" s="271"/>
      <c r="Q109" s="281"/>
      <c r="R109" s="271"/>
      <c r="S109" s="312"/>
      <c r="T109" s="282"/>
      <c r="U109" s="312"/>
      <c r="V109" s="276"/>
    </row>
    <row r="110" spans="1:22" s="172" customFormat="1" ht="20.25" customHeight="1">
      <c r="A110" s="263" t="str">
        <f t="shared" si="18"/>
        <v/>
      </c>
      <c r="B110" s="263"/>
      <c r="C110" s="264">
        <f t="shared" si="17"/>
        <v>109</v>
      </c>
      <c r="D110" s="277" t="s">
        <v>1353</v>
      </c>
      <c r="E110" s="293"/>
      <c r="F110" s="267" t="s">
        <v>111</v>
      </c>
      <c r="G110" s="267"/>
      <c r="H110" s="317">
        <f>H98</f>
        <v>26</v>
      </c>
      <c r="I110" s="317" t="str">
        <f>I98</f>
        <v>nb</v>
      </c>
      <c r="J110" s="269"/>
      <c r="K110" s="269"/>
      <c r="L110" s="269"/>
      <c r="M110" s="319"/>
      <c r="N110" s="296" t="s">
        <v>81</v>
      </c>
      <c r="O110" s="272">
        <v>2</v>
      </c>
      <c r="P110" s="296" t="s">
        <v>81</v>
      </c>
      <c r="Q110" s="273">
        <v>4</v>
      </c>
      <c r="R110" s="271" t="s">
        <v>112</v>
      </c>
      <c r="S110" s="290">
        <f t="shared" si="20"/>
        <v>8</v>
      </c>
      <c r="T110" s="275">
        <v>1</v>
      </c>
      <c r="U110" s="290">
        <f t="shared" si="21"/>
        <v>9</v>
      </c>
      <c r="V110" s="302" t="s">
        <v>48</v>
      </c>
    </row>
    <row r="111" spans="1:22" s="172" customFormat="1" ht="20.25" customHeight="1">
      <c r="A111" s="263" t="str">
        <f t="shared" si="18"/>
        <v/>
      </c>
      <c r="B111" s="263"/>
      <c r="C111" s="264">
        <f t="shared" si="17"/>
        <v>110</v>
      </c>
      <c r="D111" s="277" t="s">
        <v>1343</v>
      </c>
      <c r="E111" s="293">
        <f t="shared" si="22"/>
        <v>109</v>
      </c>
      <c r="F111" s="267" t="s">
        <v>111</v>
      </c>
      <c r="G111" s="267"/>
      <c r="H111" s="317">
        <f>H99</f>
        <v>2</v>
      </c>
      <c r="I111" s="317" t="str">
        <f>I99</f>
        <v>nb</v>
      </c>
      <c r="J111" s="269"/>
      <c r="K111" s="269"/>
      <c r="L111" s="269"/>
      <c r="M111" s="319"/>
      <c r="N111" s="296" t="s">
        <v>81</v>
      </c>
      <c r="O111" s="272">
        <v>2</v>
      </c>
      <c r="P111" s="296" t="s">
        <v>81</v>
      </c>
      <c r="Q111" s="273">
        <v>0</v>
      </c>
      <c r="R111" s="271" t="s">
        <v>112</v>
      </c>
      <c r="S111" s="290">
        <f t="shared" si="20"/>
        <v>0</v>
      </c>
      <c r="T111" s="275">
        <v>1</v>
      </c>
      <c r="U111" s="290">
        <f t="shared" si="21"/>
        <v>1</v>
      </c>
      <c r="V111" s="302" t="s">
        <v>48</v>
      </c>
    </row>
    <row r="112" spans="1:22" s="172" customFormat="1" ht="20.25" customHeight="1">
      <c r="A112" s="263" t="str">
        <f t="shared" si="18"/>
        <v/>
      </c>
      <c r="B112" s="263"/>
      <c r="C112" s="264">
        <f t="shared" si="17"/>
        <v>111</v>
      </c>
      <c r="D112" s="277" t="s">
        <v>1315</v>
      </c>
      <c r="E112" s="293">
        <f t="shared" si="22"/>
        <v>110</v>
      </c>
      <c r="F112" s="267" t="s">
        <v>111</v>
      </c>
      <c r="G112" s="267"/>
      <c r="H112" s="268"/>
      <c r="I112" s="268"/>
      <c r="J112" s="269"/>
      <c r="K112" s="269"/>
      <c r="L112" s="269"/>
      <c r="M112" s="319"/>
      <c r="N112" s="296" t="s">
        <v>81</v>
      </c>
      <c r="O112" s="272">
        <v>4</v>
      </c>
      <c r="P112" s="296" t="s">
        <v>81</v>
      </c>
      <c r="Q112" s="273">
        <v>0.25</v>
      </c>
      <c r="R112" s="271" t="s">
        <v>112</v>
      </c>
      <c r="S112" s="290">
        <f t="shared" si="20"/>
        <v>1</v>
      </c>
      <c r="T112" s="275">
        <v>1</v>
      </c>
      <c r="U112" s="290">
        <f t="shared" si="21"/>
        <v>2</v>
      </c>
      <c r="V112" s="302" t="s">
        <v>48</v>
      </c>
    </row>
    <row r="113" spans="1:22" s="172" customFormat="1" ht="20.25" customHeight="1">
      <c r="A113" s="263">
        <f t="shared" si="18"/>
        <v>112</v>
      </c>
      <c r="B113" s="263" t="s">
        <v>1263</v>
      </c>
      <c r="C113" s="264">
        <f t="shared" si="17"/>
        <v>112</v>
      </c>
      <c r="D113" s="265" t="s">
        <v>1357</v>
      </c>
      <c r="E113" s="279">
        <f>C109</f>
        <v>108</v>
      </c>
      <c r="F113" s="267"/>
      <c r="G113" s="267"/>
      <c r="H113" s="268"/>
      <c r="I113" s="268"/>
      <c r="J113" s="269"/>
      <c r="K113" s="269"/>
      <c r="L113" s="269"/>
      <c r="M113" s="319"/>
      <c r="N113" s="271"/>
      <c r="O113" s="280"/>
      <c r="P113" s="271"/>
      <c r="Q113" s="281"/>
      <c r="R113" s="271"/>
      <c r="S113" s="312"/>
      <c r="T113" s="282"/>
      <c r="U113" s="312"/>
      <c r="V113" s="276"/>
    </row>
    <row r="114" spans="1:22" s="172" customFormat="1" ht="20.25" customHeight="1">
      <c r="A114" s="263" t="str">
        <f t="shared" si="18"/>
        <v/>
      </c>
      <c r="B114" s="263"/>
      <c r="C114" s="264">
        <f t="shared" si="17"/>
        <v>113</v>
      </c>
      <c r="D114" s="277" t="s">
        <v>1353</v>
      </c>
      <c r="E114" s="293"/>
      <c r="F114" s="267" t="s">
        <v>115</v>
      </c>
      <c r="G114" s="267"/>
      <c r="H114" s="316">
        <v>18</v>
      </c>
      <c r="I114" s="316"/>
      <c r="J114" s="316"/>
      <c r="K114" s="316"/>
      <c r="L114" s="367" t="str">
        <f t="shared" ref="L114:L115" si="26">J114&amp;" "&amp;K114</f>
        <v xml:space="preserve"> </v>
      </c>
      <c r="M114" s="319"/>
      <c r="N114" s="296" t="s">
        <v>81</v>
      </c>
      <c r="O114" s="297" t="e">
        <f>LEFT(L114,SEARCH(" ",L114,1)-1)*M114*0.001</f>
        <v>#VALUE!</v>
      </c>
      <c r="P114" s="296" t="s">
        <v>81</v>
      </c>
      <c r="Q114" s="324">
        <f>6.12</f>
        <v>6.12</v>
      </c>
      <c r="R114" s="271" t="s">
        <v>112</v>
      </c>
      <c r="S114" s="290" t="e">
        <f>O114*Q114</f>
        <v>#VALUE!</v>
      </c>
      <c r="T114" s="275">
        <v>1</v>
      </c>
      <c r="U114" s="290" t="e">
        <f t="shared" si="21"/>
        <v>#VALUE!</v>
      </c>
      <c r="V114" s="302" t="s">
        <v>48</v>
      </c>
    </row>
    <row r="115" spans="1:22" s="172" customFormat="1" ht="20.25" customHeight="1">
      <c r="A115" s="263" t="str">
        <f t="shared" si="18"/>
        <v/>
      </c>
      <c r="B115" s="263"/>
      <c r="C115" s="264">
        <f t="shared" si="17"/>
        <v>114</v>
      </c>
      <c r="D115" s="277" t="s">
        <v>1343</v>
      </c>
      <c r="E115" s="293">
        <f t="shared" si="22"/>
        <v>113</v>
      </c>
      <c r="F115" s="267" t="s">
        <v>115</v>
      </c>
      <c r="G115" s="267"/>
      <c r="H115" s="317">
        <f>H103</f>
        <v>2</v>
      </c>
      <c r="I115" s="317" t="str">
        <f>I103</f>
        <v>nb</v>
      </c>
      <c r="J115" s="316"/>
      <c r="K115" s="316"/>
      <c r="L115" s="367" t="str">
        <f t="shared" si="26"/>
        <v xml:space="preserve"> </v>
      </c>
      <c r="M115" s="319"/>
      <c r="N115" s="296" t="s">
        <v>81</v>
      </c>
      <c r="O115" s="272">
        <v>0</v>
      </c>
      <c r="P115" s="296" t="s">
        <v>81</v>
      </c>
      <c r="Q115" s="325"/>
      <c r="R115" s="271" t="s">
        <v>112</v>
      </c>
      <c r="S115" s="290">
        <f t="shared" ref="S115:S116" si="27">O115*Q115</f>
        <v>0</v>
      </c>
      <c r="T115" s="275"/>
      <c r="U115" s="307"/>
      <c r="V115" s="302" t="s">
        <v>48</v>
      </c>
    </row>
    <row r="116" spans="1:22" s="172" customFormat="1" ht="20.25" customHeight="1">
      <c r="A116" s="263" t="str">
        <f t="shared" si="18"/>
        <v/>
      </c>
      <c r="B116" s="263"/>
      <c r="C116" s="264">
        <f t="shared" si="17"/>
        <v>115</v>
      </c>
      <c r="D116" s="277" t="s">
        <v>1315</v>
      </c>
      <c r="E116" s="293">
        <f t="shared" si="22"/>
        <v>114</v>
      </c>
      <c r="F116" s="267" t="s">
        <v>115</v>
      </c>
      <c r="G116" s="267"/>
      <c r="H116" s="268"/>
      <c r="I116" s="268"/>
      <c r="J116" s="269"/>
      <c r="K116" s="269"/>
      <c r="L116" s="269"/>
      <c r="M116" s="319"/>
      <c r="N116" s="296" t="s">
        <v>81</v>
      </c>
      <c r="O116" s="272">
        <v>4</v>
      </c>
      <c r="P116" s="296" t="s">
        <v>81</v>
      </c>
      <c r="Q116" s="273">
        <v>0.25</v>
      </c>
      <c r="R116" s="271" t="s">
        <v>112</v>
      </c>
      <c r="S116" s="290">
        <f t="shared" si="27"/>
        <v>1</v>
      </c>
      <c r="T116" s="275">
        <v>1</v>
      </c>
      <c r="U116" s="290">
        <f t="shared" si="21"/>
        <v>2</v>
      </c>
      <c r="V116" s="302" t="s">
        <v>48</v>
      </c>
    </row>
    <row r="117" spans="1:22" s="172" customFormat="1" ht="20.25" customHeight="1">
      <c r="A117" s="263">
        <f t="shared" si="18"/>
        <v>116</v>
      </c>
      <c r="B117" s="263" t="s">
        <v>1263</v>
      </c>
      <c r="C117" s="264">
        <f t="shared" si="17"/>
        <v>116</v>
      </c>
      <c r="D117" s="265" t="s">
        <v>1358</v>
      </c>
      <c r="E117" s="279">
        <f>C113</f>
        <v>112</v>
      </c>
      <c r="F117" s="267"/>
      <c r="G117" s="267"/>
      <c r="H117" s="268"/>
      <c r="I117" s="268"/>
      <c r="J117" s="269"/>
      <c r="K117" s="269"/>
      <c r="L117" s="269"/>
      <c r="M117" s="319"/>
      <c r="N117" s="271"/>
      <c r="O117" s="280"/>
      <c r="P117" s="271"/>
      <c r="Q117" s="281"/>
      <c r="R117" s="271"/>
      <c r="S117" s="312"/>
      <c r="T117" s="282"/>
      <c r="U117" s="312"/>
      <c r="V117" s="276"/>
    </row>
    <row r="118" spans="1:22" s="172" customFormat="1" ht="20.25" customHeight="1">
      <c r="A118" s="263" t="str">
        <f t="shared" si="18"/>
        <v/>
      </c>
      <c r="B118" s="263"/>
      <c r="C118" s="264">
        <f t="shared" si="17"/>
        <v>117</v>
      </c>
      <c r="D118" s="277" t="s">
        <v>1353</v>
      </c>
      <c r="E118" s="293"/>
      <c r="F118" s="267" t="s">
        <v>44</v>
      </c>
      <c r="G118" s="267"/>
      <c r="H118" s="317">
        <f>H106</f>
        <v>26</v>
      </c>
      <c r="I118" s="317" t="str">
        <f>I106</f>
        <v>nb</v>
      </c>
      <c r="J118" s="269"/>
      <c r="K118" s="269"/>
      <c r="L118" s="269"/>
      <c r="M118" s="319"/>
      <c r="N118" s="296" t="s">
        <v>81</v>
      </c>
      <c r="O118" s="272">
        <v>1</v>
      </c>
      <c r="P118" s="296" t="s">
        <v>81</v>
      </c>
      <c r="Q118" s="325">
        <v>4</v>
      </c>
      <c r="R118" s="271" t="s">
        <v>112</v>
      </c>
      <c r="S118" s="290">
        <f t="shared" si="20"/>
        <v>4</v>
      </c>
      <c r="T118" s="275">
        <v>1</v>
      </c>
      <c r="U118" s="290">
        <f t="shared" si="21"/>
        <v>5</v>
      </c>
      <c r="V118" s="302" t="s">
        <v>48</v>
      </c>
    </row>
    <row r="119" spans="1:22" s="172" customFormat="1" ht="20.25" customHeight="1">
      <c r="A119" s="263" t="str">
        <f t="shared" si="18"/>
        <v/>
      </c>
      <c r="B119" s="263"/>
      <c r="C119" s="264">
        <f t="shared" si="17"/>
        <v>118</v>
      </c>
      <c r="D119" s="277" t="s">
        <v>1343</v>
      </c>
      <c r="E119" s="293">
        <f t="shared" si="22"/>
        <v>117</v>
      </c>
      <c r="F119" s="267" t="s">
        <v>44</v>
      </c>
      <c r="G119" s="267"/>
      <c r="H119" s="317">
        <f>H107</f>
        <v>2</v>
      </c>
      <c r="I119" s="317" t="str">
        <f>I107</f>
        <v>nb</v>
      </c>
      <c r="J119" s="269"/>
      <c r="K119" s="269"/>
      <c r="L119" s="269"/>
      <c r="M119" s="319"/>
      <c r="N119" s="296" t="s">
        <v>81</v>
      </c>
      <c r="O119" s="272">
        <v>1</v>
      </c>
      <c r="P119" s="296" t="s">
        <v>81</v>
      </c>
      <c r="Q119" s="325">
        <v>1</v>
      </c>
      <c r="R119" s="271" t="s">
        <v>112</v>
      </c>
      <c r="S119" s="290">
        <f t="shared" si="20"/>
        <v>1</v>
      </c>
      <c r="T119" s="275">
        <v>1</v>
      </c>
      <c r="U119" s="290">
        <f t="shared" si="21"/>
        <v>2</v>
      </c>
      <c r="V119" s="302" t="s">
        <v>48</v>
      </c>
    </row>
    <row r="120" spans="1:22" s="172" customFormat="1" ht="20.25" customHeight="1">
      <c r="A120" s="263" t="str">
        <f t="shared" si="18"/>
        <v/>
      </c>
      <c r="B120" s="263"/>
      <c r="C120" s="264">
        <f t="shared" si="17"/>
        <v>119</v>
      </c>
      <c r="D120" s="277" t="s">
        <v>1315</v>
      </c>
      <c r="E120" s="293">
        <f t="shared" si="22"/>
        <v>118</v>
      </c>
      <c r="F120" s="267" t="s">
        <v>44</v>
      </c>
      <c r="G120" s="267"/>
      <c r="H120" s="268"/>
      <c r="I120" s="268"/>
      <c r="J120" s="269"/>
      <c r="K120" s="269"/>
      <c r="L120" s="269"/>
      <c r="M120" s="319"/>
      <c r="N120" s="296" t="s">
        <v>81</v>
      </c>
      <c r="O120" s="272">
        <v>1</v>
      </c>
      <c r="P120" s="296" t="s">
        <v>81</v>
      </c>
      <c r="Q120" s="273">
        <v>1</v>
      </c>
      <c r="R120" s="271" t="s">
        <v>112</v>
      </c>
      <c r="S120" s="290">
        <f t="shared" si="20"/>
        <v>1</v>
      </c>
      <c r="T120" s="275">
        <v>1</v>
      </c>
      <c r="U120" s="290">
        <f t="shared" si="21"/>
        <v>2</v>
      </c>
      <c r="V120" s="302" t="s">
        <v>48</v>
      </c>
    </row>
    <row r="121" spans="1:22" s="172" customFormat="1" ht="20.25" customHeight="1">
      <c r="A121" s="263">
        <f t="shared" si="18"/>
        <v>120</v>
      </c>
      <c r="B121" s="263" t="s">
        <v>1263</v>
      </c>
      <c r="C121" s="264">
        <f t="shared" si="17"/>
        <v>120</v>
      </c>
      <c r="D121" s="265" t="s">
        <v>1359</v>
      </c>
      <c r="E121" s="279">
        <f>C117</f>
        <v>116</v>
      </c>
      <c r="F121" s="267"/>
      <c r="G121" s="267"/>
      <c r="H121" s="268"/>
      <c r="I121" s="268"/>
      <c r="J121" s="269"/>
      <c r="K121" s="269"/>
      <c r="L121" s="269"/>
      <c r="M121" s="319"/>
      <c r="N121" s="271"/>
      <c r="O121" s="280"/>
      <c r="P121" s="271"/>
      <c r="Q121" s="281"/>
      <c r="R121" s="271"/>
      <c r="S121" s="312"/>
      <c r="T121" s="282"/>
      <c r="U121" s="312"/>
      <c r="V121" s="276"/>
    </row>
    <row r="122" spans="1:22" s="172" customFormat="1" ht="20.25" customHeight="1">
      <c r="A122" s="263" t="str">
        <f t="shared" si="18"/>
        <v/>
      </c>
      <c r="B122" s="263"/>
      <c r="C122" s="264">
        <f t="shared" si="17"/>
        <v>121</v>
      </c>
      <c r="D122" s="277" t="s">
        <v>1353</v>
      </c>
      <c r="E122" s="293"/>
      <c r="F122" s="267" t="s">
        <v>44</v>
      </c>
      <c r="G122" s="267"/>
      <c r="H122" s="317">
        <f>H110</f>
        <v>26</v>
      </c>
      <c r="I122" s="317" t="str">
        <f>I110</f>
        <v>nb</v>
      </c>
      <c r="J122" s="269"/>
      <c r="K122" s="269"/>
      <c r="L122" s="269"/>
      <c r="M122" s="319"/>
      <c r="N122" s="296" t="s">
        <v>81</v>
      </c>
      <c r="O122" s="272">
        <v>0</v>
      </c>
      <c r="P122" s="296" t="s">
        <v>81</v>
      </c>
      <c r="Q122" s="325"/>
      <c r="R122" s="271" t="s">
        <v>112</v>
      </c>
      <c r="S122" s="290">
        <f t="shared" ref="S122:S124" si="28">O122*Q122</f>
        <v>0</v>
      </c>
      <c r="T122" s="275">
        <v>1</v>
      </c>
      <c r="U122" s="290">
        <f t="shared" si="21"/>
        <v>1</v>
      </c>
      <c r="V122" s="302" t="s">
        <v>48</v>
      </c>
    </row>
    <row r="123" spans="1:22" s="172" customFormat="1" ht="20.25" customHeight="1">
      <c r="A123" s="263" t="str">
        <f t="shared" si="18"/>
        <v/>
      </c>
      <c r="B123" s="263"/>
      <c r="C123" s="264">
        <f t="shared" si="17"/>
        <v>122</v>
      </c>
      <c r="D123" s="277" t="s">
        <v>1343</v>
      </c>
      <c r="E123" s="293">
        <f t="shared" si="22"/>
        <v>121</v>
      </c>
      <c r="F123" s="267" t="s">
        <v>44</v>
      </c>
      <c r="G123" s="267"/>
      <c r="H123" s="317">
        <f>H111</f>
        <v>2</v>
      </c>
      <c r="I123" s="317" t="str">
        <f>I111</f>
        <v>nb</v>
      </c>
      <c r="J123" s="269"/>
      <c r="K123" s="269"/>
      <c r="L123" s="269"/>
      <c r="M123" s="319"/>
      <c r="N123" s="296" t="s">
        <v>81</v>
      </c>
      <c r="O123" s="272">
        <v>0</v>
      </c>
      <c r="P123" s="296" t="s">
        <v>81</v>
      </c>
      <c r="Q123" s="325"/>
      <c r="R123" s="271" t="s">
        <v>112</v>
      </c>
      <c r="S123" s="290">
        <f t="shared" si="28"/>
        <v>0</v>
      </c>
      <c r="T123" s="275">
        <v>1</v>
      </c>
      <c r="U123" s="290">
        <f t="shared" si="21"/>
        <v>1</v>
      </c>
      <c r="V123" s="302" t="s">
        <v>48</v>
      </c>
    </row>
    <row r="124" spans="1:22" s="172" customFormat="1" ht="20.25" customHeight="1">
      <c r="A124" s="263" t="str">
        <f t="shared" si="18"/>
        <v/>
      </c>
      <c r="B124" s="263"/>
      <c r="C124" s="264">
        <f t="shared" si="17"/>
        <v>123</v>
      </c>
      <c r="D124" s="277" t="s">
        <v>1315</v>
      </c>
      <c r="E124" s="293">
        <f t="shared" si="22"/>
        <v>122</v>
      </c>
      <c r="F124" s="267" t="s">
        <v>44</v>
      </c>
      <c r="G124" s="267"/>
      <c r="H124" s="268"/>
      <c r="I124" s="268"/>
      <c r="J124" s="269"/>
      <c r="K124" s="269"/>
      <c r="L124" s="269"/>
      <c r="M124" s="319"/>
      <c r="N124" s="296" t="s">
        <v>81</v>
      </c>
      <c r="O124" s="272">
        <v>0</v>
      </c>
      <c r="P124" s="296" t="s">
        <v>81</v>
      </c>
      <c r="Q124" s="273"/>
      <c r="R124" s="271" t="s">
        <v>112</v>
      </c>
      <c r="S124" s="290">
        <f t="shared" si="28"/>
        <v>0</v>
      </c>
      <c r="T124" s="275">
        <v>1</v>
      </c>
      <c r="U124" s="290">
        <f t="shared" si="21"/>
        <v>1</v>
      </c>
      <c r="V124" s="302" t="s">
        <v>48</v>
      </c>
    </row>
    <row r="125" spans="1:22" s="172" customFormat="1" ht="20.25" customHeight="1">
      <c r="A125" s="263">
        <f t="shared" si="18"/>
        <v>124</v>
      </c>
      <c r="B125" s="263" t="s">
        <v>1263</v>
      </c>
      <c r="C125" s="264">
        <f t="shared" si="17"/>
        <v>124</v>
      </c>
      <c r="D125" s="265" t="s">
        <v>1360</v>
      </c>
      <c r="E125" s="279">
        <f>C121</f>
        <v>120</v>
      </c>
      <c r="F125" s="267"/>
      <c r="G125" s="267"/>
      <c r="H125" s="268"/>
      <c r="I125" s="268"/>
      <c r="J125" s="269"/>
      <c r="K125" s="269"/>
      <c r="L125" s="269"/>
      <c r="M125" s="319"/>
      <c r="N125" s="271"/>
      <c r="O125" s="280"/>
      <c r="P125" s="271"/>
      <c r="Q125" s="281"/>
      <c r="R125" s="271"/>
      <c r="S125" s="312"/>
      <c r="T125" s="282"/>
      <c r="U125" s="312"/>
      <c r="V125" s="276"/>
    </row>
    <row r="126" spans="1:22" s="172" customFormat="1" ht="20.25" customHeight="1">
      <c r="A126" s="263" t="str">
        <f t="shared" si="18"/>
        <v/>
      </c>
      <c r="B126" s="263"/>
      <c r="C126" s="264">
        <f t="shared" si="17"/>
        <v>125</v>
      </c>
      <c r="D126" s="277" t="s">
        <v>1353</v>
      </c>
      <c r="E126" s="293"/>
      <c r="F126" s="267" t="s">
        <v>121</v>
      </c>
      <c r="G126" s="267"/>
      <c r="H126" s="316">
        <v>18</v>
      </c>
      <c r="I126" s="316"/>
      <c r="J126" s="317">
        <f>J114</f>
        <v>0</v>
      </c>
      <c r="K126" s="317"/>
      <c r="L126" s="367" t="str">
        <f t="shared" ref="L126:L127" si="29">J126&amp;" "&amp;K126</f>
        <v xml:space="preserve">0 </v>
      </c>
      <c r="M126" s="319"/>
      <c r="N126" s="296" t="s">
        <v>81</v>
      </c>
      <c r="O126" s="297">
        <f>LEFT(L126,SEARCH(" ",L126,1)-1)*M126*0.001</f>
        <v>0</v>
      </c>
      <c r="P126" s="296" t="s">
        <v>81</v>
      </c>
      <c r="Q126" s="325">
        <v>1</v>
      </c>
      <c r="R126" s="271" t="s">
        <v>112</v>
      </c>
      <c r="S126" s="290">
        <f t="shared" ref="S126:S128" si="30">O126*Q126</f>
        <v>0</v>
      </c>
      <c r="T126" s="275">
        <v>1</v>
      </c>
      <c r="U126" s="290">
        <f t="shared" si="21"/>
        <v>1</v>
      </c>
      <c r="V126" s="302" t="s">
        <v>48</v>
      </c>
    </row>
    <row r="127" spans="1:22" s="172" customFormat="1" ht="20.25" customHeight="1">
      <c r="A127" s="263" t="str">
        <f t="shared" si="18"/>
        <v/>
      </c>
      <c r="B127" s="263"/>
      <c r="C127" s="264">
        <f t="shared" si="17"/>
        <v>126</v>
      </c>
      <c r="D127" s="277" t="s">
        <v>1343</v>
      </c>
      <c r="E127" s="293">
        <f t="shared" si="22"/>
        <v>125</v>
      </c>
      <c r="F127" s="267" t="s">
        <v>121</v>
      </c>
      <c r="G127" s="267"/>
      <c r="H127" s="316">
        <v>18</v>
      </c>
      <c r="I127" s="316"/>
      <c r="J127" s="308">
        <f>J115</f>
        <v>0</v>
      </c>
      <c r="K127" s="308"/>
      <c r="L127" s="367" t="str">
        <f t="shared" si="29"/>
        <v xml:space="preserve">0 </v>
      </c>
      <c r="M127" s="319"/>
      <c r="N127" s="296" t="s">
        <v>81</v>
      </c>
      <c r="O127" s="297">
        <f>LEFT(L127,SEARCH(" ",L127,1)-1)*M127*0.001</f>
        <v>0</v>
      </c>
      <c r="P127" s="296" t="s">
        <v>81</v>
      </c>
      <c r="Q127" s="325">
        <v>0.5</v>
      </c>
      <c r="R127" s="271" t="s">
        <v>112</v>
      </c>
      <c r="S127" s="290">
        <f t="shared" si="30"/>
        <v>0</v>
      </c>
      <c r="T127" s="275">
        <v>1</v>
      </c>
      <c r="U127" s="290">
        <f t="shared" si="21"/>
        <v>1</v>
      </c>
      <c r="V127" s="302" t="s">
        <v>48</v>
      </c>
    </row>
    <row r="128" spans="1:22" s="172" customFormat="1" ht="20.25" customHeight="1">
      <c r="A128" s="263" t="str">
        <f t="shared" si="18"/>
        <v/>
      </c>
      <c r="B128" s="263"/>
      <c r="C128" s="264">
        <f t="shared" si="17"/>
        <v>127</v>
      </c>
      <c r="D128" s="277" t="s">
        <v>1315</v>
      </c>
      <c r="E128" s="293">
        <f t="shared" si="22"/>
        <v>126</v>
      </c>
      <c r="F128" s="267" t="s">
        <v>121</v>
      </c>
      <c r="G128" s="267"/>
      <c r="H128" s="268"/>
      <c r="I128" s="268"/>
      <c r="J128" s="269"/>
      <c r="K128" s="269"/>
      <c r="L128" s="269"/>
      <c r="M128" s="319"/>
      <c r="N128" s="296" t="s">
        <v>81</v>
      </c>
      <c r="O128" s="272">
        <v>1</v>
      </c>
      <c r="P128" s="296" t="s">
        <v>81</v>
      </c>
      <c r="Q128" s="273">
        <v>1</v>
      </c>
      <c r="R128" s="271" t="s">
        <v>112</v>
      </c>
      <c r="S128" s="290">
        <f t="shared" si="30"/>
        <v>1</v>
      </c>
      <c r="T128" s="275">
        <v>1</v>
      </c>
      <c r="U128" s="290">
        <f t="shared" si="21"/>
        <v>2</v>
      </c>
      <c r="V128" s="302" t="s">
        <v>48</v>
      </c>
    </row>
    <row r="129" spans="1:22" s="172" customFormat="1" ht="20.25" customHeight="1">
      <c r="A129" s="263">
        <f t="shared" si="18"/>
        <v>128</v>
      </c>
      <c r="B129" s="263" t="s">
        <v>1263</v>
      </c>
      <c r="C129" s="264">
        <f t="shared" si="17"/>
        <v>128</v>
      </c>
      <c r="D129" s="265" t="s">
        <v>1361</v>
      </c>
      <c r="E129" s="279"/>
      <c r="F129" s="267"/>
      <c r="G129" s="267"/>
      <c r="H129" s="268"/>
      <c r="I129" s="268"/>
      <c r="J129" s="269"/>
      <c r="K129" s="269"/>
      <c r="L129" s="269"/>
      <c r="M129" s="319"/>
      <c r="N129" s="271"/>
      <c r="O129" s="280"/>
      <c r="P129" s="271"/>
      <c r="Q129" s="281"/>
      <c r="R129" s="271"/>
      <c r="S129" s="312"/>
      <c r="T129" s="282"/>
      <c r="U129" s="312"/>
      <c r="V129" s="276"/>
    </row>
    <row r="130" spans="1:22" s="172" customFormat="1" ht="20.25" customHeight="1">
      <c r="A130" s="263">
        <f t="shared" si="18"/>
        <v>129</v>
      </c>
      <c r="B130" s="263" t="s">
        <v>1263</v>
      </c>
      <c r="C130" s="264">
        <f t="shared" si="17"/>
        <v>129</v>
      </c>
      <c r="D130" s="265" t="s">
        <v>1362</v>
      </c>
      <c r="E130" s="279">
        <f>C129</f>
        <v>128</v>
      </c>
      <c r="F130" s="267"/>
      <c r="G130" s="267"/>
      <c r="H130" s="268"/>
      <c r="I130" s="268"/>
      <c r="J130" s="269"/>
      <c r="K130" s="269"/>
      <c r="L130" s="269"/>
      <c r="M130" s="319"/>
      <c r="N130" s="271"/>
      <c r="O130" s="280"/>
      <c r="P130" s="271"/>
      <c r="Q130" s="281"/>
      <c r="R130" s="271"/>
      <c r="S130" s="312"/>
      <c r="T130" s="282"/>
      <c r="U130" s="312"/>
      <c r="V130" s="276"/>
    </row>
    <row r="131" spans="1:22" s="172" customFormat="1" ht="20.25" customHeight="1">
      <c r="A131" s="263" t="str">
        <f t="shared" si="18"/>
        <v/>
      </c>
      <c r="B131" s="263"/>
      <c r="C131" s="264">
        <f t="shared" si="17"/>
        <v>130</v>
      </c>
      <c r="D131" s="277" t="s">
        <v>1363</v>
      </c>
      <c r="E131" s="293"/>
      <c r="F131" s="267"/>
      <c r="G131" s="267"/>
      <c r="H131" s="268"/>
      <c r="I131" s="268"/>
      <c r="J131" s="269"/>
      <c r="K131" s="269"/>
      <c r="L131" s="269"/>
      <c r="M131" s="319">
        <v>1</v>
      </c>
      <c r="N131" s="271" t="s">
        <v>84</v>
      </c>
      <c r="O131" s="272">
        <v>1</v>
      </c>
      <c r="P131" s="271" t="s">
        <v>84</v>
      </c>
      <c r="Q131" s="273">
        <v>4</v>
      </c>
      <c r="R131" s="271" t="s">
        <v>41</v>
      </c>
      <c r="S131" s="290">
        <f t="shared" ref="S131" si="31">O131*Q131</f>
        <v>4</v>
      </c>
      <c r="T131" s="275">
        <v>0</v>
      </c>
      <c r="U131" s="290">
        <f t="shared" si="21"/>
        <v>4</v>
      </c>
      <c r="V131" s="276" t="s">
        <v>42</v>
      </c>
    </row>
    <row r="132" spans="1:22" s="172" customFormat="1" ht="20.25" customHeight="1">
      <c r="A132" s="263" t="str">
        <f t="shared" si="18"/>
        <v/>
      </c>
      <c r="B132" s="263"/>
      <c r="C132" s="264">
        <f t="shared" ref="C132:C195" si="32">C131+1</f>
        <v>131</v>
      </c>
      <c r="D132" s="277" t="s">
        <v>1364</v>
      </c>
      <c r="E132" s="293">
        <f t="shared" si="22"/>
        <v>130</v>
      </c>
      <c r="F132" s="267" t="s">
        <v>44</v>
      </c>
      <c r="G132" s="267"/>
      <c r="H132" s="316">
        <v>16</v>
      </c>
      <c r="I132" s="316"/>
      <c r="J132" s="316"/>
      <c r="K132" s="316"/>
      <c r="L132" s="367" t="str">
        <f t="shared" ref="L132:L134" si="33">J132&amp;" "&amp;K132</f>
        <v xml:space="preserve"> </v>
      </c>
      <c r="M132" s="319">
        <v>1</v>
      </c>
      <c r="N132" s="271" t="s">
        <v>84</v>
      </c>
      <c r="O132" s="297" t="e">
        <f>LEFT(L132,SEARCH(" ",L132,1)-1)*M132</f>
        <v>#VALUE!</v>
      </c>
      <c r="P132" s="271" t="s">
        <v>139</v>
      </c>
      <c r="Q132" s="325">
        <v>0.25</v>
      </c>
      <c r="R132" s="271" t="s">
        <v>112</v>
      </c>
      <c r="S132" s="290" t="e">
        <f t="shared" si="20"/>
        <v>#VALUE!</v>
      </c>
      <c r="T132" s="275">
        <v>1</v>
      </c>
      <c r="U132" s="290" t="e">
        <f t="shared" si="21"/>
        <v>#VALUE!</v>
      </c>
      <c r="V132" s="302" t="s">
        <v>48</v>
      </c>
    </row>
    <row r="133" spans="1:22" s="172" customFormat="1" ht="20.25" customHeight="1">
      <c r="A133" s="263" t="str">
        <f t="shared" si="18"/>
        <v/>
      </c>
      <c r="B133" s="263"/>
      <c r="C133" s="264">
        <f t="shared" si="32"/>
        <v>132</v>
      </c>
      <c r="D133" s="277" t="s">
        <v>1365</v>
      </c>
      <c r="E133" s="293">
        <f t="shared" si="22"/>
        <v>131</v>
      </c>
      <c r="F133" s="267" t="s">
        <v>44</v>
      </c>
      <c r="G133" s="267"/>
      <c r="H133" s="316">
        <v>12</v>
      </c>
      <c r="I133" s="316"/>
      <c r="J133" s="316"/>
      <c r="K133" s="316"/>
      <c r="L133" s="367" t="str">
        <f t="shared" si="33"/>
        <v xml:space="preserve"> </v>
      </c>
      <c r="M133" s="326">
        <v>1</v>
      </c>
      <c r="N133" s="271" t="s">
        <v>84</v>
      </c>
      <c r="O133" s="297" t="e">
        <f t="shared" ref="O133:O134" si="34">LEFT(L133,SEARCH(" ",L133,1)-1)*M133</f>
        <v>#VALUE!</v>
      </c>
      <c r="P133" s="271" t="s">
        <v>139</v>
      </c>
      <c r="Q133" s="325">
        <v>0.25</v>
      </c>
      <c r="R133" s="271" t="s">
        <v>112</v>
      </c>
      <c r="S133" s="290" t="e">
        <f t="shared" si="20"/>
        <v>#VALUE!</v>
      </c>
      <c r="T133" s="275">
        <v>1</v>
      </c>
      <c r="U133" s="290" t="e">
        <f t="shared" si="21"/>
        <v>#VALUE!</v>
      </c>
      <c r="V133" s="302" t="s">
        <v>48</v>
      </c>
    </row>
    <row r="134" spans="1:22" s="172" customFormat="1" ht="20.25" customHeight="1">
      <c r="A134" s="263" t="str">
        <f t="shared" si="18"/>
        <v/>
      </c>
      <c r="B134" s="263"/>
      <c r="C134" s="264">
        <f t="shared" si="32"/>
        <v>133</v>
      </c>
      <c r="D134" s="277" t="s">
        <v>1366</v>
      </c>
      <c r="E134" s="293">
        <f t="shared" si="22"/>
        <v>132</v>
      </c>
      <c r="F134" s="267" t="s">
        <v>44</v>
      </c>
      <c r="G134" s="267"/>
      <c r="H134" s="316">
        <v>12</v>
      </c>
      <c r="I134" s="316"/>
      <c r="J134" s="316"/>
      <c r="K134" s="316"/>
      <c r="L134" s="367" t="str">
        <f t="shared" si="33"/>
        <v xml:space="preserve"> </v>
      </c>
      <c r="M134" s="319">
        <v>1</v>
      </c>
      <c r="N134" s="271" t="s">
        <v>84</v>
      </c>
      <c r="O134" s="297" t="e">
        <f t="shared" si="34"/>
        <v>#VALUE!</v>
      </c>
      <c r="P134" s="271" t="s">
        <v>139</v>
      </c>
      <c r="Q134" s="325">
        <v>0.25</v>
      </c>
      <c r="R134" s="271" t="s">
        <v>112</v>
      </c>
      <c r="S134" s="290" t="e">
        <f t="shared" si="20"/>
        <v>#VALUE!</v>
      </c>
      <c r="T134" s="275">
        <v>1</v>
      </c>
      <c r="U134" s="290" t="e">
        <f t="shared" si="21"/>
        <v>#VALUE!</v>
      </c>
      <c r="V134" s="302" t="s">
        <v>48</v>
      </c>
    </row>
    <row r="135" spans="1:22" s="172" customFormat="1" ht="20.25" customHeight="1">
      <c r="A135" s="263">
        <f t="shared" si="18"/>
        <v>134</v>
      </c>
      <c r="B135" s="263" t="s">
        <v>1263</v>
      </c>
      <c r="C135" s="264">
        <f t="shared" si="32"/>
        <v>134</v>
      </c>
      <c r="D135" s="265" t="s">
        <v>1367</v>
      </c>
      <c r="E135" s="279">
        <f>C130</f>
        <v>129</v>
      </c>
      <c r="F135" s="267"/>
      <c r="G135" s="267"/>
      <c r="H135" s="268"/>
      <c r="I135" s="268"/>
      <c r="J135" s="269"/>
      <c r="K135" s="269"/>
      <c r="L135" s="269"/>
      <c r="M135" s="319"/>
      <c r="N135" s="271"/>
      <c r="O135" s="280"/>
      <c r="P135" s="271"/>
      <c r="Q135" s="281"/>
      <c r="R135" s="271"/>
      <c r="S135" s="312"/>
      <c r="T135" s="282"/>
      <c r="U135" s="312"/>
      <c r="V135" s="276"/>
    </row>
    <row r="136" spans="1:22" s="172" customFormat="1" ht="20.25" customHeight="1">
      <c r="A136" s="263" t="str">
        <f t="shared" si="18"/>
        <v/>
      </c>
      <c r="B136" s="263"/>
      <c r="C136" s="264">
        <f t="shared" si="32"/>
        <v>135</v>
      </c>
      <c r="D136" s="277" t="s">
        <v>1368</v>
      </c>
      <c r="E136" s="293"/>
      <c r="F136" s="267" t="s">
        <v>52</v>
      </c>
      <c r="G136" s="267"/>
      <c r="H136" s="308">
        <f t="shared" ref="H136:M138" si="35">H132</f>
        <v>16</v>
      </c>
      <c r="I136" s="308"/>
      <c r="J136" s="308">
        <f>J132</f>
        <v>0</v>
      </c>
      <c r="K136" s="308"/>
      <c r="L136" s="367" t="str">
        <f t="shared" ref="L136:L138" si="36">J136&amp;" "&amp;K136</f>
        <v xml:space="preserve">0 </v>
      </c>
      <c r="M136" s="326">
        <f t="shared" si="35"/>
        <v>1</v>
      </c>
      <c r="N136" s="271" t="s">
        <v>81</v>
      </c>
      <c r="O136" s="297">
        <f t="shared" ref="O136:O138" si="37">LEFT(L136,SEARCH(" ",L136,1)-1)*M136</f>
        <v>0</v>
      </c>
      <c r="P136" s="271" t="s">
        <v>139</v>
      </c>
      <c r="Q136" s="325">
        <v>0.5</v>
      </c>
      <c r="R136" s="271" t="s">
        <v>112</v>
      </c>
      <c r="S136" s="290">
        <f t="shared" si="20"/>
        <v>0</v>
      </c>
      <c r="T136" s="275">
        <v>1</v>
      </c>
      <c r="U136" s="290">
        <f t="shared" si="21"/>
        <v>1</v>
      </c>
      <c r="V136" s="276" t="s">
        <v>48</v>
      </c>
    </row>
    <row r="137" spans="1:22" s="172" customFormat="1" ht="20.25" customHeight="1">
      <c r="A137" s="263" t="str">
        <f t="shared" si="18"/>
        <v/>
      </c>
      <c r="B137" s="263"/>
      <c r="C137" s="264">
        <f t="shared" si="32"/>
        <v>136</v>
      </c>
      <c r="D137" s="277" t="s">
        <v>1369</v>
      </c>
      <c r="E137" s="293">
        <f t="shared" si="22"/>
        <v>135</v>
      </c>
      <c r="F137" s="267" t="s">
        <v>52</v>
      </c>
      <c r="G137" s="267"/>
      <c r="H137" s="308">
        <f t="shared" si="35"/>
        <v>12</v>
      </c>
      <c r="I137" s="308"/>
      <c r="J137" s="308">
        <f>J133</f>
        <v>0</v>
      </c>
      <c r="K137" s="308"/>
      <c r="L137" s="367" t="str">
        <f t="shared" si="36"/>
        <v xml:space="preserve">0 </v>
      </c>
      <c r="M137" s="326">
        <f t="shared" si="35"/>
        <v>1</v>
      </c>
      <c r="N137" s="271" t="s">
        <v>81</v>
      </c>
      <c r="O137" s="297">
        <f t="shared" si="37"/>
        <v>0</v>
      </c>
      <c r="P137" s="271" t="s">
        <v>139</v>
      </c>
      <c r="Q137" s="325">
        <v>0.5</v>
      </c>
      <c r="R137" s="271" t="s">
        <v>112</v>
      </c>
      <c r="S137" s="290">
        <f t="shared" si="20"/>
        <v>0</v>
      </c>
      <c r="T137" s="275">
        <v>1</v>
      </c>
      <c r="U137" s="290">
        <f t="shared" si="21"/>
        <v>1</v>
      </c>
      <c r="V137" s="276" t="s">
        <v>48</v>
      </c>
    </row>
    <row r="138" spans="1:22" s="172" customFormat="1" ht="20.25" customHeight="1">
      <c r="A138" s="263" t="str">
        <f t="shared" si="18"/>
        <v/>
      </c>
      <c r="B138" s="263"/>
      <c r="C138" s="264">
        <f t="shared" si="32"/>
        <v>137</v>
      </c>
      <c r="D138" s="277" t="s">
        <v>1370</v>
      </c>
      <c r="E138" s="293">
        <f t="shared" si="22"/>
        <v>136</v>
      </c>
      <c r="F138" s="267" t="s">
        <v>52</v>
      </c>
      <c r="G138" s="267"/>
      <c r="H138" s="308">
        <f t="shared" si="35"/>
        <v>12</v>
      </c>
      <c r="I138" s="308"/>
      <c r="J138" s="308">
        <f>J134</f>
        <v>0</v>
      </c>
      <c r="K138" s="308"/>
      <c r="L138" s="367" t="str">
        <f t="shared" si="36"/>
        <v xml:space="preserve">0 </v>
      </c>
      <c r="M138" s="326">
        <f t="shared" si="35"/>
        <v>1</v>
      </c>
      <c r="N138" s="271" t="s">
        <v>81</v>
      </c>
      <c r="O138" s="297">
        <f t="shared" si="37"/>
        <v>0</v>
      </c>
      <c r="P138" s="271" t="s">
        <v>139</v>
      </c>
      <c r="Q138" s="324">
        <f>VLOOKUP(H138,BM!$B$3:$Y$62,3,FALSE)</f>
        <v>0.25</v>
      </c>
      <c r="R138" s="271" t="s">
        <v>112</v>
      </c>
      <c r="S138" s="290">
        <f t="shared" si="20"/>
        <v>0</v>
      </c>
      <c r="T138" s="275">
        <v>1</v>
      </c>
      <c r="U138" s="290">
        <f t="shared" si="21"/>
        <v>1</v>
      </c>
      <c r="V138" s="276" t="s">
        <v>48</v>
      </c>
    </row>
    <row r="139" spans="1:22" s="172" customFormat="1" ht="20.25" customHeight="1">
      <c r="A139" s="263" t="str">
        <f t="shared" si="18"/>
        <v/>
      </c>
      <c r="B139" s="263"/>
      <c r="C139" s="264">
        <f t="shared" si="32"/>
        <v>138</v>
      </c>
      <c r="D139" s="277" t="s">
        <v>1371</v>
      </c>
      <c r="E139" s="293">
        <f t="shared" si="22"/>
        <v>137</v>
      </c>
      <c r="F139" s="267" t="s">
        <v>149</v>
      </c>
      <c r="G139" s="267"/>
      <c r="H139" s="268"/>
      <c r="I139" s="268"/>
      <c r="J139" s="269"/>
      <c r="K139" s="269"/>
      <c r="L139" s="269"/>
      <c r="M139" s="319"/>
      <c r="N139" s="271"/>
      <c r="O139" s="327">
        <f>O136+O137+O138</f>
        <v>0</v>
      </c>
      <c r="P139" s="271" t="s">
        <v>139</v>
      </c>
      <c r="Q139" s="324" t="e">
        <f>VLOOKUP(H139,BM!$B$3:$Y$62,4,FALSE)</f>
        <v>#N/A</v>
      </c>
      <c r="R139" s="271" t="s">
        <v>112</v>
      </c>
      <c r="S139" s="290" t="e">
        <f t="shared" si="20"/>
        <v>#N/A</v>
      </c>
      <c r="T139" s="275">
        <v>1</v>
      </c>
      <c r="U139" s="290" t="e">
        <f t="shared" si="21"/>
        <v>#N/A</v>
      </c>
      <c r="V139" s="276" t="s">
        <v>48</v>
      </c>
    </row>
    <row r="140" spans="1:22" s="172" customFormat="1" ht="20.25" customHeight="1">
      <c r="A140" s="263">
        <f t="shared" si="18"/>
        <v>139</v>
      </c>
      <c r="B140" s="263" t="s">
        <v>1263</v>
      </c>
      <c r="C140" s="264">
        <f t="shared" si="32"/>
        <v>139</v>
      </c>
      <c r="D140" s="265" t="s">
        <v>1372</v>
      </c>
      <c r="E140" s="279">
        <f>C135</f>
        <v>134</v>
      </c>
      <c r="F140" s="267"/>
      <c r="G140" s="267"/>
      <c r="H140" s="268"/>
      <c r="I140" s="268"/>
      <c r="J140" s="269"/>
      <c r="K140" s="269"/>
      <c r="L140" s="269"/>
      <c r="M140" s="319"/>
      <c r="N140" s="271"/>
      <c r="O140" s="280"/>
      <c r="P140" s="271"/>
      <c r="Q140" s="281"/>
      <c r="R140" s="271"/>
      <c r="S140" s="312"/>
      <c r="T140" s="282"/>
      <c r="U140" s="312"/>
      <c r="V140" s="276"/>
    </row>
    <row r="141" spans="1:22" s="172" customFormat="1" ht="20.25" customHeight="1">
      <c r="A141" s="263" t="str">
        <f t="shared" si="18"/>
        <v/>
      </c>
      <c r="B141" s="263"/>
      <c r="C141" s="264">
        <f t="shared" si="32"/>
        <v>140</v>
      </c>
      <c r="D141" s="277" t="s">
        <v>1373</v>
      </c>
      <c r="E141" s="293"/>
      <c r="F141" s="267" t="s">
        <v>152</v>
      </c>
      <c r="G141" s="267"/>
      <c r="H141" s="268"/>
      <c r="I141" s="268"/>
      <c r="J141" s="269"/>
      <c r="K141" s="269"/>
      <c r="L141" s="269"/>
      <c r="M141" s="319">
        <v>1</v>
      </c>
      <c r="N141" s="271" t="s">
        <v>84</v>
      </c>
      <c r="O141" s="272">
        <v>1</v>
      </c>
      <c r="P141" s="296" t="s">
        <v>81</v>
      </c>
      <c r="Q141" s="273">
        <v>8</v>
      </c>
      <c r="R141" s="271" t="s">
        <v>112</v>
      </c>
      <c r="S141" s="290">
        <f t="shared" si="20"/>
        <v>8</v>
      </c>
      <c r="T141" s="275">
        <v>1</v>
      </c>
      <c r="U141" s="290">
        <f t="shared" si="21"/>
        <v>9</v>
      </c>
      <c r="V141" s="276" t="s">
        <v>48</v>
      </c>
    </row>
    <row r="142" spans="1:22" s="172" customFormat="1" ht="20.25" customHeight="1">
      <c r="A142" s="263" t="str">
        <f t="shared" si="18"/>
        <v/>
      </c>
      <c r="B142" s="263"/>
      <c r="C142" s="264">
        <f t="shared" si="32"/>
        <v>141</v>
      </c>
      <c r="D142" s="277" t="s">
        <v>1374</v>
      </c>
      <c r="E142" s="293">
        <f t="shared" si="22"/>
        <v>140</v>
      </c>
      <c r="F142" s="267" t="s">
        <v>115</v>
      </c>
      <c r="G142" s="267"/>
      <c r="H142" s="316">
        <v>16</v>
      </c>
      <c r="I142" s="316"/>
      <c r="J142" s="316"/>
      <c r="K142" s="316"/>
      <c r="L142" s="367" t="str">
        <f>J142&amp;" "&amp;K142</f>
        <v xml:space="preserve"> </v>
      </c>
      <c r="M142" s="319">
        <v>1</v>
      </c>
      <c r="N142" s="271" t="s">
        <v>84</v>
      </c>
      <c r="O142" s="318">
        <v>4</v>
      </c>
      <c r="P142" s="296" t="s">
        <v>81</v>
      </c>
      <c r="Q142" s="299">
        <f>VLOOKUP(H142,BM!$B$3:$Y$62,22,FALSE)</f>
        <v>2.8</v>
      </c>
      <c r="R142" s="271" t="s">
        <v>112</v>
      </c>
      <c r="S142" s="290">
        <f t="shared" si="20"/>
        <v>11.2</v>
      </c>
      <c r="T142" s="275">
        <v>1</v>
      </c>
      <c r="U142" s="290">
        <f t="shared" si="21"/>
        <v>12.2</v>
      </c>
      <c r="V142" s="276" t="s">
        <v>48</v>
      </c>
    </row>
    <row r="143" spans="1:22" s="172" customFormat="1" ht="20.25" customHeight="1">
      <c r="A143" s="263" t="str">
        <f t="shared" si="18"/>
        <v/>
      </c>
      <c r="B143" s="263"/>
      <c r="C143" s="264">
        <f t="shared" si="32"/>
        <v>142</v>
      </c>
      <c r="D143" s="277" t="s">
        <v>1375</v>
      </c>
      <c r="E143" s="293">
        <f t="shared" si="22"/>
        <v>141</v>
      </c>
      <c r="F143" s="267" t="s">
        <v>152</v>
      </c>
      <c r="G143" s="267"/>
      <c r="H143" s="268"/>
      <c r="I143" s="268"/>
      <c r="J143" s="269"/>
      <c r="K143" s="269"/>
      <c r="L143" s="269"/>
      <c r="M143" s="319">
        <v>1</v>
      </c>
      <c r="N143" s="271" t="s">
        <v>84</v>
      </c>
      <c r="O143" s="272">
        <v>1</v>
      </c>
      <c r="P143" s="296" t="s">
        <v>81</v>
      </c>
      <c r="Q143" s="273">
        <v>8</v>
      </c>
      <c r="R143" s="271" t="s">
        <v>112</v>
      </c>
      <c r="S143" s="290">
        <f t="shared" si="20"/>
        <v>8</v>
      </c>
      <c r="T143" s="275">
        <v>1</v>
      </c>
      <c r="U143" s="290">
        <f t="shared" si="21"/>
        <v>9</v>
      </c>
      <c r="V143" s="276" t="s">
        <v>48</v>
      </c>
    </row>
    <row r="144" spans="1:22" s="172" customFormat="1" ht="20.25" customHeight="1">
      <c r="A144" s="263" t="str">
        <f t="shared" si="18"/>
        <v/>
      </c>
      <c r="B144" s="263"/>
      <c r="C144" s="264">
        <f t="shared" si="32"/>
        <v>143</v>
      </c>
      <c r="D144" s="277" t="s">
        <v>1376</v>
      </c>
      <c r="E144" s="293">
        <f t="shared" si="22"/>
        <v>142</v>
      </c>
      <c r="F144" s="267" t="s">
        <v>156</v>
      </c>
      <c r="G144" s="267"/>
      <c r="H144" s="316">
        <v>12</v>
      </c>
      <c r="I144" s="316"/>
      <c r="J144" s="316"/>
      <c r="K144" s="316"/>
      <c r="L144" s="367" t="str">
        <f>J144&amp;" "&amp;K144</f>
        <v xml:space="preserve"> </v>
      </c>
      <c r="M144" s="319">
        <v>1</v>
      </c>
      <c r="N144" s="271" t="s">
        <v>84</v>
      </c>
      <c r="O144" s="318">
        <v>24.8</v>
      </c>
      <c r="P144" s="296" t="s">
        <v>81</v>
      </c>
      <c r="Q144" s="299">
        <f>VLOOKUP(H144,BM!$B$3:$Y$62,22,FALSE)</f>
        <v>1.6</v>
      </c>
      <c r="R144" s="271" t="s">
        <v>112</v>
      </c>
      <c r="S144" s="290">
        <f t="shared" si="20"/>
        <v>39.680000000000007</v>
      </c>
      <c r="T144" s="275">
        <v>1</v>
      </c>
      <c r="U144" s="290">
        <f t="shared" si="21"/>
        <v>40.68</v>
      </c>
      <c r="V144" s="276" t="s">
        <v>48</v>
      </c>
    </row>
    <row r="145" spans="1:22" s="172" customFormat="1" ht="20.25" customHeight="1">
      <c r="A145" s="263">
        <f t="shared" si="18"/>
        <v>144</v>
      </c>
      <c r="B145" s="263" t="s">
        <v>1263</v>
      </c>
      <c r="C145" s="264">
        <f t="shared" si="32"/>
        <v>144</v>
      </c>
      <c r="D145" s="265" t="s">
        <v>1377</v>
      </c>
      <c r="E145" s="279">
        <f>C140</f>
        <v>139</v>
      </c>
      <c r="F145" s="267"/>
      <c r="G145" s="267"/>
      <c r="H145" s="268"/>
      <c r="I145" s="268"/>
      <c r="J145" s="269"/>
      <c r="K145" s="269"/>
      <c r="L145" s="269"/>
      <c r="M145" s="319"/>
      <c r="N145" s="271"/>
      <c r="O145" s="280"/>
      <c r="P145" s="271"/>
      <c r="Q145" s="281"/>
      <c r="R145" s="271"/>
      <c r="S145" s="312"/>
      <c r="T145" s="282"/>
      <c r="U145" s="312"/>
      <c r="V145" s="276"/>
    </row>
    <row r="146" spans="1:22" s="172" customFormat="1" ht="20.25" customHeight="1">
      <c r="A146" s="263" t="str">
        <f t="shared" si="18"/>
        <v/>
      </c>
      <c r="B146" s="263"/>
      <c r="C146" s="264">
        <f t="shared" si="32"/>
        <v>145</v>
      </c>
      <c r="D146" s="277" t="s">
        <v>1378</v>
      </c>
      <c r="E146" s="293"/>
      <c r="F146" s="267" t="s">
        <v>159</v>
      </c>
      <c r="G146" s="267"/>
      <c r="H146" s="268"/>
      <c r="I146" s="268"/>
      <c r="J146" s="269"/>
      <c r="K146" s="269"/>
      <c r="L146" s="269"/>
      <c r="M146" s="319">
        <v>1</v>
      </c>
      <c r="N146" s="271" t="s">
        <v>84</v>
      </c>
      <c r="O146" s="272">
        <v>1</v>
      </c>
      <c r="P146" s="271" t="s">
        <v>84</v>
      </c>
      <c r="Q146" s="273">
        <v>4</v>
      </c>
      <c r="R146" s="271" t="s">
        <v>41</v>
      </c>
      <c r="S146" s="290">
        <f t="shared" si="20"/>
        <v>4</v>
      </c>
      <c r="T146" s="275"/>
      <c r="U146" s="290">
        <f t="shared" si="21"/>
        <v>4</v>
      </c>
      <c r="V146" s="276" t="s">
        <v>42</v>
      </c>
    </row>
    <row r="147" spans="1:22" s="172" customFormat="1" ht="20.25" customHeight="1">
      <c r="A147" s="263" t="str">
        <f t="shared" si="18"/>
        <v/>
      </c>
      <c r="B147" s="263"/>
      <c r="C147" s="264">
        <f t="shared" si="32"/>
        <v>146</v>
      </c>
      <c r="D147" s="277" t="s">
        <v>1379</v>
      </c>
      <c r="E147" s="293">
        <f t="shared" si="22"/>
        <v>145</v>
      </c>
      <c r="F147" s="267" t="s">
        <v>44</v>
      </c>
      <c r="G147" s="267"/>
      <c r="H147" s="268"/>
      <c r="I147" s="268"/>
      <c r="J147" s="269"/>
      <c r="K147" s="269"/>
      <c r="L147" s="269"/>
      <c r="M147" s="319">
        <v>6</v>
      </c>
      <c r="N147" s="271" t="s">
        <v>81</v>
      </c>
      <c r="O147" s="272">
        <v>6</v>
      </c>
      <c r="P147" s="271" t="s">
        <v>81</v>
      </c>
      <c r="Q147" s="273">
        <v>0.5</v>
      </c>
      <c r="R147" s="271" t="s">
        <v>162</v>
      </c>
      <c r="S147" s="290">
        <f t="shared" si="20"/>
        <v>3</v>
      </c>
      <c r="T147" s="275"/>
      <c r="U147" s="290">
        <f t="shared" si="21"/>
        <v>3</v>
      </c>
      <c r="V147" s="276" t="s">
        <v>48</v>
      </c>
    </row>
    <row r="148" spans="1:22" s="172" customFormat="1" ht="20.25" customHeight="1">
      <c r="A148" s="263" t="str">
        <f t="shared" si="18"/>
        <v/>
      </c>
      <c r="B148" s="263"/>
      <c r="C148" s="264">
        <f t="shared" si="32"/>
        <v>147</v>
      </c>
      <c r="D148" s="277" t="s">
        <v>1380</v>
      </c>
      <c r="E148" s="293">
        <f t="shared" si="22"/>
        <v>146</v>
      </c>
      <c r="F148" s="267" t="s">
        <v>44</v>
      </c>
      <c r="G148" s="267"/>
      <c r="H148" s="316">
        <v>16</v>
      </c>
      <c r="I148" s="316"/>
      <c r="J148" s="269"/>
      <c r="K148" s="269"/>
      <c r="L148" s="269"/>
      <c r="M148" s="319">
        <v>4</v>
      </c>
      <c r="N148" s="271" t="s">
        <v>81</v>
      </c>
      <c r="O148" s="327">
        <f>M148</f>
        <v>4</v>
      </c>
      <c r="P148" s="271" t="s">
        <v>81</v>
      </c>
      <c r="Q148" s="273">
        <v>0.5</v>
      </c>
      <c r="R148" s="271" t="s">
        <v>162</v>
      </c>
      <c r="S148" s="290">
        <f t="shared" si="20"/>
        <v>2</v>
      </c>
      <c r="T148" s="275"/>
      <c r="U148" s="290">
        <f t="shared" si="21"/>
        <v>2</v>
      </c>
      <c r="V148" s="276" t="s">
        <v>48</v>
      </c>
    </row>
    <row r="149" spans="1:22" s="172" customFormat="1" ht="20.25" customHeight="1">
      <c r="A149" s="263" t="str">
        <f t="shared" si="18"/>
        <v/>
      </c>
      <c r="B149" s="263"/>
      <c r="C149" s="264">
        <f t="shared" si="32"/>
        <v>148</v>
      </c>
      <c r="D149" s="277" t="s">
        <v>1381</v>
      </c>
      <c r="E149" s="293">
        <f t="shared" si="22"/>
        <v>147</v>
      </c>
      <c r="F149" s="267" t="s">
        <v>44</v>
      </c>
      <c r="G149" s="267"/>
      <c r="H149" s="316">
        <v>16</v>
      </c>
      <c r="I149" s="316"/>
      <c r="J149" s="269"/>
      <c r="K149" s="269"/>
      <c r="L149" s="269"/>
      <c r="M149" s="319">
        <v>4</v>
      </c>
      <c r="N149" s="271" t="s">
        <v>81</v>
      </c>
      <c r="O149" s="327">
        <f>M149</f>
        <v>4</v>
      </c>
      <c r="P149" s="271" t="s">
        <v>81</v>
      </c>
      <c r="Q149" s="273">
        <v>0.5</v>
      </c>
      <c r="R149" s="271" t="s">
        <v>162</v>
      </c>
      <c r="S149" s="290">
        <f t="shared" si="20"/>
        <v>2</v>
      </c>
      <c r="T149" s="275"/>
      <c r="U149" s="290">
        <f t="shared" si="21"/>
        <v>2</v>
      </c>
      <c r="V149" s="276" t="s">
        <v>48</v>
      </c>
    </row>
    <row r="150" spans="1:22" s="172" customFormat="1" ht="20.25" customHeight="1">
      <c r="A150" s="263" t="str">
        <f t="shared" si="18"/>
        <v/>
      </c>
      <c r="B150" s="263"/>
      <c r="C150" s="264">
        <f t="shared" si="32"/>
        <v>149</v>
      </c>
      <c r="D150" s="277" t="s">
        <v>1382</v>
      </c>
      <c r="E150" s="293">
        <f t="shared" si="22"/>
        <v>148</v>
      </c>
      <c r="F150" s="267" t="s">
        <v>44</v>
      </c>
      <c r="G150" s="267"/>
      <c r="H150" s="316">
        <v>30</v>
      </c>
      <c r="I150" s="316"/>
      <c r="J150" s="269"/>
      <c r="K150" s="269"/>
      <c r="L150" s="269"/>
      <c r="M150" s="319">
        <v>2</v>
      </c>
      <c r="N150" s="271" t="s">
        <v>81</v>
      </c>
      <c r="O150" s="327">
        <f>M150</f>
        <v>2</v>
      </c>
      <c r="P150" s="271" t="s">
        <v>81</v>
      </c>
      <c r="Q150" s="273">
        <v>0.5</v>
      </c>
      <c r="R150" s="271" t="s">
        <v>162</v>
      </c>
      <c r="S150" s="290">
        <f t="shared" si="20"/>
        <v>1</v>
      </c>
      <c r="T150" s="275"/>
      <c r="U150" s="290">
        <f t="shared" si="21"/>
        <v>1</v>
      </c>
      <c r="V150" s="276" t="s">
        <v>48</v>
      </c>
    </row>
    <row r="151" spans="1:22" s="172" customFormat="1" ht="20.25" customHeight="1">
      <c r="A151" s="263" t="str">
        <f t="shared" si="18"/>
        <v/>
      </c>
      <c r="B151" s="263"/>
      <c r="C151" s="264">
        <f t="shared" si="32"/>
        <v>150</v>
      </c>
      <c r="D151" s="277" t="s">
        <v>1383</v>
      </c>
      <c r="E151" s="293">
        <f t="shared" si="22"/>
        <v>149</v>
      </c>
      <c r="F151" s="267" t="s">
        <v>52</v>
      </c>
      <c r="G151" s="267"/>
      <c r="H151" s="268"/>
      <c r="I151" s="268"/>
      <c r="J151" s="269"/>
      <c r="K151" s="269"/>
      <c r="L151" s="269"/>
      <c r="M151" s="319">
        <v>6</v>
      </c>
      <c r="N151" s="271" t="s">
        <v>81</v>
      </c>
      <c r="O151" s="327">
        <f>M151</f>
        <v>6</v>
      </c>
      <c r="P151" s="271" t="s">
        <v>81</v>
      </c>
      <c r="Q151" s="273">
        <v>0.5</v>
      </c>
      <c r="R151" s="271" t="s">
        <v>162</v>
      </c>
      <c r="S151" s="290">
        <f t="shared" si="20"/>
        <v>3</v>
      </c>
      <c r="T151" s="275"/>
      <c r="U151" s="290">
        <f t="shared" si="21"/>
        <v>3</v>
      </c>
      <c r="V151" s="276" t="s">
        <v>48</v>
      </c>
    </row>
    <row r="152" spans="1:22" s="172" customFormat="1" ht="20.25" customHeight="1">
      <c r="A152" s="263" t="str">
        <f t="shared" si="18"/>
        <v/>
      </c>
      <c r="B152" s="263"/>
      <c r="C152" s="264">
        <f t="shared" si="32"/>
        <v>151</v>
      </c>
      <c r="D152" s="277" t="s">
        <v>1384</v>
      </c>
      <c r="E152" s="293">
        <f t="shared" si="22"/>
        <v>150</v>
      </c>
      <c r="F152" s="267" t="s">
        <v>52</v>
      </c>
      <c r="G152" s="267"/>
      <c r="H152" s="268"/>
      <c r="I152" s="268"/>
      <c r="J152" s="269"/>
      <c r="K152" s="269"/>
      <c r="L152" s="269"/>
      <c r="M152" s="319">
        <v>4</v>
      </c>
      <c r="N152" s="271" t="s">
        <v>81</v>
      </c>
      <c r="O152" s="327">
        <f t="shared" ref="O152:O159" si="38">M152</f>
        <v>4</v>
      </c>
      <c r="P152" s="271" t="s">
        <v>81</v>
      </c>
      <c r="Q152" s="273">
        <v>0.5</v>
      </c>
      <c r="R152" s="271" t="s">
        <v>162</v>
      </c>
      <c r="S152" s="290">
        <f t="shared" si="20"/>
        <v>2</v>
      </c>
      <c r="T152" s="275"/>
      <c r="U152" s="290">
        <f t="shared" si="21"/>
        <v>2</v>
      </c>
      <c r="V152" s="276" t="s">
        <v>48</v>
      </c>
    </row>
    <row r="153" spans="1:22" s="172" customFormat="1" ht="20.25" customHeight="1">
      <c r="A153" s="263" t="str">
        <f t="shared" si="18"/>
        <v/>
      </c>
      <c r="B153" s="263"/>
      <c r="C153" s="264">
        <f t="shared" si="32"/>
        <v>152</v>
      </c>
      <c r="D153" s="277" t="s">
        <v>1385</v>
      </c>
      <c r="E153" s="293">
        <f t="shared" si="22"/>
        <v>151</v>
      </c>
      <c r="F153" s="267" t="s">
        <v>44</v>
      </c>
      <c r="G153" s="267"/>
      <c r="H153" s="268"/>
      <c r="I153" s="268"/>
      <c r="J153" s="269"/>
      <c r="K153" s="269"/>
      <c r="L153" s="269"/>
      <c r="M153" s="319">
        <v>6</v>
      </c>
      <c r="N153" s="271" t="s">
        <v>81</v>
      </c>
      <c r="O153" s="327">
        <f t="shared" si="38"/>
        <v>6</v>
      </c>
      <c r="P153" s="271" t="s">
        <v>81</v>
      </c>
      <c r="Q153" s="273">
        <v>0.5</v>
      </c>
      <c r="R153" s="271" t="s">
        <v>162</v>
      </c>
      <c r="S153" s="290">
        <f t="shared" si="20"/>
        <v>3</v>
      </c>
      <c r="T153" s="275"/>
      <c r="U153" s="290">
        <f t="shared" si="21"/>
        <v>3</v>
      </c>
      <c r="V153" s="276" t="s">
        <v>48</v>
      </c>
    </row>
    <row r="154" spans="1:22" s="172" customFormat="1" ht="20.25" customHeight="1">
      <c r="A154" s="263" t="str">
        <f t="shared" si="18"/>
        <v/>
      </c>
      <c r="B154" s="263"/>
      <c r="C154" s="264">
        <f t="shared" si="32"/>
        <v>153</v>
      </c>
      <c r="D154" s="277" t="s">
        <v>1386</v>
      </c>
      <c r="E154" s="293">
        <f t="shared" si="22"/>
        <v>152</v>
      </c>
      <c r="F154" s="267" t="s">
        <v>61</v>
      </c>
      <c r="G154" s="267"/>
      <c r="H154" s="268"/>
      <c r="I154" s="268"/>
      <c r="J154" s="269"/>
      <c r="K154" s="269"/>
      <c r="L154" s="269"/>
      <c r="M154" s="319">
        <v>10</v>
      </c>
      <c r="N154" s="271" t="s">
        <v>81</v>
      </c>
      <c r="O154" s="327">
        <f t="shared" si="38"/>
        <v>10</v>
      </c>
      <c r="P154" s="271" t="s">
        <v>81</v>
      </c>
      <c r="Q154" s="273">
        <v>0.5</v>
      </c>
      <c r="R154" s="271" t="s">
        <v>162</v>
      </c>
      <c r="S154" s="290">
        <f t="shared" si="20"/>
        <v>5</v>
      </c>
      <c r="T154" s="275"/>
      <c r="U154" s="290">
        <f t="shared" si="21"/>
        <v>5</v>
      </c>
      <c r="V154" s="276" t="s">
        <v>48</v>
      </c>
    </row>
    <row r="155" spans="1:22" s="172" customFormat="1" ht="20.25" customHeight="1">
      <c r="A155" s="263" t="str">
        <f t="shared" si="18"/>
        <v/>
      </c>
      <c r="B155" s="263"/>
      <c r="C155" s="264">
        <f t="shared" si="32"/>
        <v>154</v>
      </c>
      <c r="D155" s="277" t="s">
        <v>1387</v>
      </c>
      <c r="E155" s="293">
        <f t="shared" si="22"/>
        <v>153</v>
      </c>
      <c r="F155" s="267" t="s">
        <v>61</v>
      </c>
      <c r="G155" s="267"/>
      <c r="H155" s="268"/>
      <c r="I155" s="268"/>
      <c r="J155" s="269"/>
      <c r="K155" s="269"/>
      <c r="L155" s="269"/>
      <c r="M155" s="319">
        <v>2</v>
      </c>
      <c r="N155" s="271" t="s">
        <v>81</v>
      </c>
      <c r="O155" s="327">
        <f t="shared" si="38"/>
        <v>2</v>
      </c>
      <c r="P155" s="271" t="s">
        <v>81</v>
      </c>
      <c r="Q155" s="273">
        <v>0.5</v>
      </c>
      <c r="R155" s="271" t="s">
        <v>162</v>
      </c>
      <c r="S155" s="290">
        <f t="shared" si="20"/>
        <v>1</v>
      </c>
      <c r="T155" s="275"/>
      <c r="U155" s="290">
        <f t="shared" si="21"/>
        <v>1</v>
      </c>
      <c r="V155" s="276" t="s">
        <v>48</v>
      </c>
    </row>
    <row r="156" spans="1:22" s="172" customFormat="1" ht="20.25" customHeight="1">
      <c r="A156" s="263" t="str">
        <f t="shared" ref="A156:A219" si="39">IF(B156="Yes",C156,"")</f>
        <v/>
      </c>
      <c r="B156" s="263"/>
      <c r="C156" s="264">
        <f t="shared" si="32"/>
        <v>155</v>
      </c>
      <c r="D156" s="277" t="s">
        <v>1388</v>
      </c>
      <c r="E156" s="293">
        <f t="shared" si="22"/>
        <v>154</v>
      </c>
      <c r="F156" s="267" t="s">
        <v>172</v>
      </c>
      <c r="G156" s="267"/>
      <c r="H156" s="268"/>
      <c r="I156" s="268"/>
      <c r="J156" s="269"/>
      <c r="K156" s="269"/>
      <c r="L156" s="269"/>
      <c r="M156" s="319">
        <v>2</v>
      </c>
      <c r="N156" s="271" t="s">
        <v>81</v>
      </c>
      <c r="O156" s="327">
        <f t="shared" si="38"/>
        <v>2</v>
      </c>
      <c r="P156" s="271" t="s">
        <v>81</v>
      </c>
      <c r="Q156" s="273">
        <v>0.5</v>
      </c>
      <c r="R156" s="271" t="s">
        <v>162</v>
      </c>
      <c r="S156" s="290">
        <f t="shared" si="20"/>
        <v>1</v>
      </c>
      <c r="T156" s="275"/>
      <c r="U156" s="290">
        <f t="shared" si="21"/>
        <v>1</v>
      </c>
      <c r="V156" s="276" t="s">
        <v>48</v>
      </c>
    </row>
    <row r="157" spans="1:22" s="172" customFormat="1" ht="20.25" customHeight="1">
      <c r="A157" s="263" t="str">
        <f t="shared" si="39"/>
        <v/>
      </c>
      <c r="B157" s="263"/>
      <c r="C157" s="264">
        <f t="shared" si="32"/>
        <v>156</v>
      </c>
      <c r="D157" s="277" t="s">
        <v>1389</v>
      </c>
      <c r="E157" s="293">
        <f t="shared" si="22"/>
        <v>155</v>
      </c>
      <c r="F157" s="267" t="s">
        <v>115</v>
      </c>
      <c r="G157" s="267"/>
      <c r="H157" s="268"/>
      <c r="I157" s="268"/>
      <c r="J157" s="269"/>
      <c r="K157" s="269"/>
      <c r="L157" s="269"/>
      <c r="M157" s="319">
        <v>2</v>
      </c>
      <c r="N157" s="271" t="s">
        <v>81</v>
      </c>
      <c r="O157" s="327">
        <f t="shared" si="38"/>
        <v>2</v>
      </c>
      <c r="P157" s="271" t="s">
        <v>81</v>
      </c>
      <c r="Q157" s="273">
        <v>0.5</v>
      </c>
      <c r="R157" s="271" t="s">
        <v>162</v>
      </c>
      <c r="S157" s="290">
        <f t="shared" si="20"/>
        <v>1</v>
      </c>
      <c r="T157" s="275"/>
      <c r="U157" s="290">
        <f t="shared" si="21"/>
        <v>1</v>
      </c>
      <c r="V157" s="276" t="s">
        <v>48</v>
      </c>
    </row>
    <row r="158" spans="1:22" s="172" customFormat="1" ht="20.25" customHeight="1">
      <c r="A158" s="263" t="str">
        <f t="shared" si="39"/>
        <v/>
      </c>
      <c r="B158" s="263"/>
      <c r="C158" s="264">
        <f t="shared" si="32"/>
        <v>157</v>
      </c>
      <c r="D158" s="277" t="s">
        <v>1390</v>
      </c>
      <c r="E158" s="293">
        <f t="shared" si="22"/>
        <v>156</v>
      </c>
      <c r="F158" s="267" t="s">
        <v>115</v>
      </c>
      <c r="G158" s="267"/>
      <c r="H158" s="268"/>
      <c r="I158" s="268"/>
      <c r="J158" s="269"/>
      <c r="K158" s="269"/>
      <c r="L158" s="269"/>
      <c r="M158" s="319">
        <v>2</v>
      </c>
      <c r="N158" s="271" t="s">
        <v>81</v>
      </c>
      <c r="O158" s="327">
        <f t="shared" si="38"/>
        <v>2</v>
      </c>
      <c r="P158" s="271" t="s">
        <v>81</v>
      </c>
      <c r="Q158" s="273">
        <v>0.5</v>
      </c>
      <c r="R158" s="271" t="s">
        <v>162</v>
      </c>
      <c r="S158" s="290">
        <f t="shared" ref="S158:S221" si="40">O158*Q158</f>
        <v>1</v>
      </c>
      <c r="T158" s="275"/>
      <c r="U158" s="290">
        <f t="shared" ref="U158:U221" si="41">ROUND(S158+T158,2)</f>
        <v>1</v>
      </c>
      <c r="V158" s="276" t="s">
        <v>48</v>
      </c>
    </row>
    <row r="159" spans="1:22" s="172" customFormat="1" ht="20.25" customHeight="1">
      <c r="A159" s="263" t="str">
        <f t="shared" si="39"/>
        <v/>
      </c>
      <c r="B159" s="263"/>
      <c r="C159" s="264">
        <f t="shared" si="32"/>
        <v>158</v>
      </c>
      <c r="D159" s="277" t="s">
        <v>1391</v>
      </c>
      <c r="E159" s="293">
        <f t="shared" ref="E159:E222" si="42">C158</f>
        <v>157</v>
      </c>
      <c r="F159" s="267" t="s">
        <v>44</v>
      </c>
      <c r="G159" s="267"/>
      <c r="H159" s="268"/>
      <c r="I159" s="268"/>
      <c r="J159" s="269"/>
      <c r="K159" s="269"/>
      <c r="L159" s="269"/>
      <c r="M159" s="319">
        <v>4</v>
      </c>
      <c r="N159" s="271" t="s">
        <v>81</v>
      </c>
      <c r="O159" s="327">
        <f t="shared" si="38"/>
        <v>4</v>
      </c>
      <c r="P159" s="271" t="s">
        <v>81</v>
      </c>
      <c r="Q159" s="273">
        <v>0.5</v>
      </c>
      <c r="R159" s="271" t="s">
        <v>162</v>
      </c>
      <c r="S159" s="290">
        <f t="shared" si="40"/>
        <v>2</v>
      </c>
      <c r="T159" s="275"/>
      <c r="U159" s="290">
        <f t="shared" si="41"/>
        <v>2</v>
      </c>
      <c r="V159" s="276" t="s">
        <v>48</v>
      </c>
    </row>
    <row r="160" spans="1:22" s="172" customFormat="1" ht="20.25" customHeight="1">
      <c r="A160" s="263">
        <f t="shared" si="39"/>
        <v>159</v>
      </c>
      <c r="B160" s="263" t="s">
        <v>1263</v>
      </c>
      <c r="C160" s="264">
        <f t="shared" si="32"/>
        <v>159</v>
      </c>
      <c r="D160" s="265" t="s">
        <v>1392</v>
      </c>
      <c r="E160" s="279">
        <f>C145</f>
        <v>144</v>
      </c>
      <c r="F160" s="267"/>
      <c r="G160" s="267"/>
      <c r="H160" s="268"/>
      <c r="I160" s="268"/>
      <c r="J160" s="269"/>
      <c r="K160" s="269"/>
      <c r="L160" s="269"/>
      <c r="M160" s="319"/>
      <c r="N160" s="271"/>
      <c r="O160" s="280"/>
      <c r="P160" s="271"/>
      <c r="Q160" s="281"/>
      <c r="R160" s="271"/>
      <c r="S160" s="312"/>
      <c r="T160" s="282"/>
      <c r="U160" s="312"/>
      <c r="V160" s="276"/>
    </row>
    <row r="161" spans="1:22" s="172" customFormat="1" ht="20.25" customHeight="1">
      <c r="A161" s="263" t="str">
        <f t="shared" si="39"/>
        <v/>
      </c>
      <c r="B161" s="263"/>
      <c r="C161" s="264">
        <f t="shared" si="32"/>
        <v>160</v>
      </c>
      <c r="D161" s="277" t="s">
        <v>1363</v>
      </c>
      <c r="E161" s="293"/>
      <c r="F161" s="267"/>
      <c r="G161" s="267"/>
      <c r="H161" s="268"/>
      <c r="I161" s="268"/>
      <c r="J161" s="269"/>
      <c r="K161" s="269"/>
      <c r="L161" s="269"/>
      <c r="M161" s="319">
        <v>1</v>
      </c>
      <c r="N161" s="271" t="s">
        <v>84</v>
      </c>
      <c r="O161" s="272">
        <v>1</v>
      </c>
      <c r="P161" s="271" t="s">
        <v>84</v>
      </c>
      <c r="Q161" s="273">
        <v>4</v>
      </c>
      <c r="R161" s="296" t="s">
        <v>41</v>
      </c>
      <c r="S161" s="290">
        <f t="shared" si="40"/>
        <v>4</v>
      </c>
      <c r="T161" s="275"/>
      <c r="U161" s="290">
        <f t="shared" si="41"/>
        <v>4</v>
      </c>
      <c r="V161" s="276" t="s">
        <v>42</v>
      </c>
    </row>
    <row r="162" spans="1:22" s="172" customFormat="1" ht="20.25" customHeight="1">
      <c r="A162" s="263" t="str">
        <f t="shared" si="39"/>
        <v/>
      </c>
      <c r="B162" s="263"/>
      <c r="C162" s="264">
        <f t="shared" si="32"/>
        <v>161</v>
      </c>
      <c r="D162" s="277" t="s">
        <v>1393</v>
      </c>
      <c r="E162" s="293">
        <f t="shared" si="42"/>
        <v>160</v>
      </c>
      <c r="F162" s="267" t="s">
        <v>44</v>
      </c>
      <c r="G162" s="267"/>
      <c r="H162" s="316">
        <v>16</v>
      </c>
      <c r="I162" s="316"/>
      <c r="J162" s="269"/>
      <c r="K162" s="269"/>
      <c r="L162" s="269"/>
      <c r="M162" s="319">
        <v>4</v>
      </c>
      <c r="N162" s="271" t="s">
        <v>81</v>
      </c>
      <c r="O162" s="327">
        <f t="shared" ref="O162:O164" si="43">M162</f>
        <v>4</v>
      </c>
      <c r="P162" s="271" t="s">
        <v>81</v>
      </c>
      <c r="Q162" s="273">
        <v>0.5</v>
      </c>
      <c r="R162" s="271" t="s">
        <v>162</v>
      </c>
      <c r="S162" s="290">
        <f t="shared" si="40"/>
        <v>2</v>
      </c>
      <c r="T162" s="275"/>
      <c r="U162" s="290">
        <f t="shared" si="41"/>
        <v>2</v>
      </c>
      <c r="V162" s="276" t="s">
        <v>48</v>
      </c>
    </row>
    <row r="163" spans="1:22" s="172" customFormat="1" ht="20.25" customHeight="1">
      <c r="A163" s="263" t="str">
        <f t="shared" si="39"/>
        <v/>
      </c>
      <c r="B163" s="263"/>
      <c r="C163" s="264">
        <f t="shared" si="32"/>
        <v>162</v>
      </c>
      <c r="D163" s="277" t="s">
        <v>1394</v>
      </c>
      <c r="E163" s="293">
        <f t="shared" si="42"/>
        <v>161</v>
      </c>
      <c r="F163" s="267" t="s">
        <v>52</v>
      </c>
      <c r="G163" s="267"/>
      <c r="H163" s="268"/>
      <c r="I163" s="268"/>
      <c r="J163" s="269"/>
      <c r="K163" s="269"/>
      <c r="L163" s="269"/>
      <c r="M163" s="319">
        <v>4</v>
      </c>
      <c r="N163" s="271" t="s">
        <v>81</v>
      </c>
      <c r="O163" s="327">
        <f t="shared" si="43"/>
        <v>4</v>
      </c>
      <c r="P163" s="271" t="s">
        <v>81</v>
      </c>
      <c r="Q163" s="273">
        <v>0.5</v>
      </c>
      <c r="R163" s="271" t="s">
        <v>162</v>
      </c>
      <c r="S163" s="290">
        <f t="shared" si="40"/>
        <v>2</v>
      </c>
      <c r="T163" s="275"/>
      <c r="U163" s="290">
        <f t="shared" si="41"/>
        <v>2</v>
      </c>
      <c r="V163" s="276" t="s">
        <v>48</v>
      </c>
    </row>
    <row r="164" spans="1:22" s="172" customFormat="1" ht="20.25" customHeight="1">
      <c r="A164" s="263" t="str">
        <f t="shared" si="39"/>
        <v/>
      </c>
      <c r="B164" s="263"/>
      <c r="C164" s="264">
        <f t="shared" si="32"/>
        <v>163</v>
      </c>
      <c r="D164" s="277" t="s">
        <v>1395</v>
      </c>
      <c r="E164" s="293">
        <f t="shared" si="42"/>
        <v>162</v>
      </c>
      <c r="F164" s="267" t="s">
        <v>121</v>
      </c>
      <c r="G164" s="267"/>
      <c r="H164" s="268"/>
      <c r="I164" s="268"/>
      <c r="J164" s="269"/>
      <c r="K164" s="269"/>
      <c r="L164" s="269"/>
      <c r="M164" s="319">
        <v>4</v>
      </c>
      <c r="N164" s="271" t="s">
        <v>81</v>
      </c>
      <c r="O164" s="327">
        <f t="shared" si="43"/>
        <v>4</v>
      </c>
      <c r="P164" s="271" t="s">
        <v>81</v>
      </c>
      <c r="Q164" s="273">
        <v>0.5</v>
      </c>
      <c r="R164" s="271" t="s">
        <v>162</v>
      </c>
      <c r="S164" s="290">
        <f t="shared" si="40"/>
        <v>2</v>
      </c>
      <c r="T164" s="275"/>
      <c r="U164" s="290">
        <f t="shared" si="41"/>
        <v>2</v>
      </c>
      <c r="V164" s="276" t="s">
        <v>48</v>
      </c>
    </row>
    <row r="165" spans="1:22" s="172" customFormat="1" ht="20.25" customHeight="1">
      <c r="A165" s="263">
        <f t="shared" si="39"/>
        <v>164</v>
      </c>
      <c r="B165" s="263" t="s">
        <v>1263</v>
      </c>
      <c r="C165" s="264">
        <f t="shared" si="32"/>
        <v>164</v>
      </c>
      <c r="D165" s="265" t="s">
        <v>1396</v>
      </c>
      <c r="E165" s="279">
        <f>C160</f>
        <v>159</v>
      </c>
      <c r="F165" s="267"/>
      <c r="G165" s="267"/>
      <c r="H165" s="268"/>
      <c r="I165" s="268"/>
      <c r="J165" s="269"/>
      <c r="K165" s="269"/>
      <c r="L165" s="269"/>
      <c r="M165" s="319"/>
      <c r="N165" s="271"/>
      <c r="O165" s="280"/>
      <c r="P165" s="271"/>
      <c r="Q165" s="281"/>
      <c r="R165" s="271"/>
      <c r="S165" s="312"/>
      <c r="T165" s="282"/>
      <c r="U165" s="312"/>
      <c r="V165" s="276"/>
    </row>
    <row r="166" spans="1:22" s="172" customFormat="1" ht="20.25" customHeight="1">
      <c r="A166" s="263" t="str">
        <f t="shared" si="39"/>
        <v/>
      </c>
      <c r="B166" s="263"/>
      <c r="C166" s="264">
        <f t="shared" si="32"/>
        <v>165</v>
      </c>
      <c r="D166" s="277" t="s">
        <v>1397</v>
      </c>
      <c r="E166" s="293"/>
      <c r="F166" s="267" t="s">
        <v>44</v>
      </c>
      <c r="G166" s="267"/>
      <c r="H166" s="316">
        <v>12</v>
      </c>
      <c r="I166" s="316"/>
      <c r="J166" s="269"/>
      <c r="K166" s="269"/>
      <c r="L166" s="269"/>
      <c r="M166" s="319">
        <v>1</v>
      </c>
      <c r="N166" s="271" t="s">
        <v>84</v>
      </c>
      <c r="O166" s="272">
        <v>1</v>
      </c>
      <c r="P166" s="271" t="s">
        <v>84</v>
      </c>
      <c r="Q166" s="273">
        <v>4</v>
      </c>
      <c r="R166" s="296" t="s">
        <v>41</v>
      </c>
      <c r="S166" s="290">
        <f t="shared" si="40"/>
        <v>4</v>
      </c>
      <c r="T166" s="275"/>
      <c r="U166" s="290">
        <f t="shared" si="41"/>
        <v>4</v>
      </c>
      <c r="V166" s="276" t="s">
        <v>42</v>
      </c>
    </row>
    <row r="167" spans="1:22" s="172" customFormat="1" ht="20.25" customHeight="1">
      <c r="A167" s="263" t="str">
        <f t="shared" si="39"/>
        <v/>
      </c>
      <c r="B167" s="263"/>
      <c r="C167" s="264">
        <f t="shared" si="32"/>
        <v>166</v>
      </c>
      <c r="D167" s="277" t="s">
        <v>1398</v>
      </c>
      <c r="E167" s="293">
        <f t="shared" si="42"/>
        <v>165</v>
      </c>
      <c r="F167" s="267" t="s">
        <v>52</v>
      </c>
      <c r="G167" s="267"/>
      <c r="H167" s="268"/>
      <c r="I167" s="268"/>
      <c r="J167" s="269"/>
      <c r="K167" s="269"/>
      <c r="L167" s="269"/>
      <c r="M167" s="319">
        <v>4</v>
      </c>
      <c r="N167" s="271" t="s">
        <v>81</v>
      </c>
      <c r="O167" s="327">
        <f t="shared" ref="O167:O169" si="44">M167</f>
        <v>4</v>
      </c>
      <c r="P167" s="271" t="s">
        <v>81</v>
      </c>
      <c r="Q167" s="273">
        <v>0.5</v>
      </c>
      <c r="R167" s="271" t="s">
        <v>162</v>
      </c>
      <c r="S167" s="290">
        <f t="shared" si="40"/>
        <v>2</v>
      </c>
      <c r="T167" s="275"/>
      <c r="U167" s="290">
        <f t="shared" si="41"/>
        <v>2</v>
      </c>
      <c r="V167" s="276" t="s">
        <v>48</v>
      </c>
    </row>
    <row r="168" spans="1:22" s="172" customFormat="1" ht="20.25" customHeight="1">
      <c r="A168" s="263" t="str">
        <f t="shared" si="39"/>
        <v/>
      </c>
      <c r="B168" s="263"/>
      <c r="C168" s="264">
        <f t="shared" si="32"/>
        <v>167</v>
      </c>
      <c r="D168" s="277" t="s">
        <v>1399</v>
      </c>
      <c r="E168" s="293">
        <f t="shared" si="42"/>
        <v>166</v>
      </c>
      <c r="F168" s="267" t="s">
        <v>121</v>
      </c>
      <c r="G168" s="267"/>
      <c r="H168" s="268"/>
      <c r="I168" s="268"/>
      <c r="J168" s="269"/>
      <c r="K168" s="269"/>
      <c r="L168" s="269"/>
      <c r="M168" s="319">
        <v>4</v>
      </c>
      <c r="N168" s="271" t="s">
        <v>81</v>
      </c>
      <c r="O168" s="327">
        <f t="shared" si="44"/>
        <v>4</v>
      </c>
      <c r="P168" s="271" t="s">
        <v>81</v>
      </c>
      <c r="Q168" s="273">
        <v>0.5</v>
      </c>
      <c r="R168" s="271" t="s">
        <v>162</v>
      </c>
      <c r="S168" s="290">
        <f t="shared" si="40"/>
        <v>2</v>
      </c>
      <c r="T168" s="275"/>
      <c r="U168" s="290">
        <f t="shared" si="41"/>
        <v>2</v>
      </c>
      <c r="V168" s="276" t="s">
        <v>48</v>
      </c>
    </row>
    <row r="169" spans="1:22" s="172" customFormat="1" ht="20.25" customHeight="1">
      <c r="A169" s="263" t="str">
        <f t="shared" si="39"/>
        <v/>
      </c>
      <c r="B169" s="263"/>
      <c r="C169" s="264">
        <f t="shared" si="32"/>
        <v>168</v>
      </c>
      <c r="D169" s="277" t="s">
        <v>1400</v>
      </c>
      <c r="E169" s="293">
        <f t="shared" si="42"/>
        <v>167</v>
      </c>
      <c r="F169" s="267" t="s">
        <v>44</v>
      </c>
      <c r="G169" s="267"/>
      <c r="H169" s="268"/>
      <c r="I169" s="268"/>
      <c r="J169" s="269"/>
      <c r="K169" s="269"/>
      <c r="L169" s="269"/>
      <c r="M169" s="319">
        <v>4</v>
      </c>
      <c r="N169" s="271" t="s">
        <v>81</v>
      </c>
      <c r="O169" s="327">
        <f t="shared" si="44"/>
        <v>4</v>
      </c>
      <c r="P169" s="271" t="s">
        <v>81</v>
      </c>
      <c r="Q169" s="273">
        <v>0.5</v>
      </c>
      <c r="R169" s="271" t="s">
        <v>162</v>
      </c>
      <c r="S169" s="290">
        <f t="shared" si="40"/>
        <v>2</v>
      </c>
      <c r="T169" s="275"/>
      <c r="U169" s="290">
        <f t="shared" si="41"/>
        <v>2</v>
      </c>
      <c r="V169" s="276" t="s">
        <v>48</v>
      </c>
    </row>
    <row r="170" spans="1:22" s="172" customFormat="1" ht="20.25" customHeight="1">
      <c r="A170" s="263">
        <f t="shared" si="39"/>
        <v>169</v>
      </c>
      <c r="B170" s="263" t="s">
        <v>1263</v>
      </c>
      <c r="C170" s="264">
        <f t="shared" si="32"/>
        <v>169</v>
      </c>
      <c r="D170" s="265" t="s">
        <v>1401</v>
      </c>
      <c r="E170" s="279">
        <f>C165</f>
        <v>164</v>
      </c>
      <c r="F170" s="267"/>
      <c r="G170" s="267"/>
      <c r="H170" s="268"/>
      <c r="I170" s="268"/>
      <c r="J170" s="269"/>
      <c r="K170" s="269"/>
      <c r="L170" s="269"/>
      <c r="M170" s="319"/>
      <c r="N170" s="271"/>
      <c r="O170" s="280"/>
      <c r="P170" s="271"/>
      <c r="Q170" s="281"/>
      <c r="R170" s="271"/>
      <c r="S170" s="312"/>
      <c r="T170" s="282"/>
      <c r="U170" s="312"/>
      <c r="V170" s="276"/>
    </row>
    <row r="171" spans="1:22" s="172" customFormat="1" ht="20.25" customHeight="1">
      <c r="A171" s="263" t="str">
        <f t="shared" si="39"/>
        <v/>
      </c>
      <c r="B171" s="263"/>
      <c r="C171" s="264">
        <f t="shared" si="32"/>
        <v>170</v>
      </c>
      <c r="D171" s="277" t="s">
        <v>1402</v>
      </c>
      <c r="E171" s="293"/>
      <c r="F171" s="267" t="s">
        <v>44</v>
      </c>
      <c r="G171" s="267"/>
      <c r="H171" s="268"/>
      <c r="I171" s="268"/>
      <c r="J171" s="269"/>
      <c r="K171" s="269"/>
      <c r="L171" s="269"/>
      <c r="M171" s="319">
        <v>2</v>
      </c>
      <c r="N171" s="271" t="s">
        <v>81</v>
      </c>
      <c r="O171" s="327">
        <f t="shared" ref="O171:O172" si="45">M171</f>
        <v>2</v>
      </c>
      <c r="P171" s="271" t="s">
        <v>81</v>
      </c>
      <c r="Q171" s="273">
        <v>1</v>
      </c>
      <c r="R171" s="271" t="s">
        <v>162</v>
      </c>
      <c r="S171" s="290">
        <f t="shared" si="40"/>
        <v>2</v>
      </c>
      <c r="T171" s="275"/>
      <c r="U171" s="290">
        <f t="shared" si="41"/>
        <v>2</v>
      </c>
      <c r="V171" s="276" t="s">
        <v>42</v>
      </c>
    </row>
    <row r="172" spans="1:22" s="172" customFormat="1" ht="20.25" customHeight="1">
      <c r="A172" s="263" t="str">
        <f t="shared" si="39"/>
        <v/>
      </c>
      <c r="B172" s="263"/>
      <c r="C172" s="264">
        <f t="shared" si="32"/>
        <v>171</v>
      </c>
      <c r="D172" s="277" t="s">
        <v>1403</v>
      </c>
      <c r="E172" s="293">
        <f t="shared" si="42"/>
        <v>170</v>
      </c>
      <c r="F172" s="267" t="s">
        <v>44</v>
      </c>
      <c r="G172" s="267"/>
      <c r="H172" s="268"/>
      <c r="I172" s="268"/>
      <c r="J172" s="269"/>
      <c r="K172" s="269"/>
      <c r="L172" s="269"/>
      <c r="M172" s="319">
        <v>2</v>
      </c>
      <c r="N172" s="271" t="s">
        <v>81</v>
      </c>
      <c r="O172" s="327">
        <f t="shared" si="45"/>
        <v>2</v>
      </c>
      <c r="P172" s="271" t="s">
        <v>81</v>
      </c>
      <c r="Q172" s="273">
        <v>1</v>
      </c>
      <c r="R172" s="271" t="s">
        <v>162</v>
      </c>
      <c r="S172" s="290">
        <f t="shared" si="40"/>
        <v>2</v>
      </c>
      <c r="T172" s="275"/>
      <c r="U172" s="290">
        <f t="shared" si="41"/>
        <v>2</v>
      </c>
      <c r="V172" s="276" t="s">
        <v>42</v>
      </c>
    </row>
    <row r="173" spans="1:22" s="172" customFormat="1" ht="20.25" customHeight="1">
      <c r="A173" s="263">
        <f t="shared" si="39"/>
        <v>172</v>
      </c>
      <c r="B173" s="263" t="s">
        <v>1263</v>
      </c>
      <c r="C173" s="264">
        <f t="shared" si="32"/>
        <v>172</v>
      </c>
      <c r="D173" s="265" t="s">
        <v>1404</v>
      </c>
      <c r="E173" s="279">
        <f>C170</f>
        <v>169</v>
      </c>
      <c r="F173" s="267"/>
      <c r="G173" s="267"/>
      <c r="H173" s="268"/>
      <c r="I173" s="268"/>
      <c r="J173" s="269"/>
      <c r="K173" s="269"/>
      <c r="L173" s="269"/>
      <c r="M173" s="319"/>
      <c r="N173" s="271"/>
      <c r="O173" s="280"/>
      <c r="P173" s="271"/>
      <c r="Q173" s="281"/>
      <c r="R173" s="271"/>
      <c r="S173" s="312"/>
      <c r="T173" s="282"/>
      <c r="U173" s="312"/>
      <c r="V173" s="276"/>
    </row>
    <row r="174" spans="1:22" s="172" customFormat="1" ht="20.25" customHeight="1">
      <c r="A174" s="263" t="str">
        <f t="shared" si="39"/>
        <v/>
      </c>
      <c r="B174" s="263"/>
      <c r="C174" s="264">
        <f t="shared" si="32"/>
        <v>173</v>
      </c>
      <c r="D174" s="277" t="s">
        <v>1405</v>
      </c>
      <c r="E174" s="293"/>
      <c r="F174" s="267" t="s">
        <v>44</v>
      </c>
      <c r="G174" s="267"/>
      <c r="H174" s="316">
        <v>12</v>
      </c>
      <c r="I174" s="316"/>
      <c r="J174" s="269"/>
      <c r="K174" s="269"/>
      <c r="L174" s="269"/>
      <c r="M174" s="319"/>
      <c r="N174" s="271" t="s">
        <v>81</v>
      </c>
      <c r="O174" s="327">
        <f t="shared" ref="O174:O177" si="46">M174</f>
        <v>0</v>
      </c>
      <c r="P174" s="271" t="s">
        <v>81</v>
      </c>
      <c r="Q174" s="273">
        <v>4</v>
      </c>
      <c r="R174" s="271" t="s">
        <v>162</v>
      </c>
      <c r="S174" s="290">
        <f t="shared" si="40"/>
        <v>0</v>
      </c>
      <c r="T174" s="275"/>
      <c r="U174" s="290">
        <f t="shared" si="41"/>
        <v>0</v>
      </c>
      <c r="V174" s="276" t="s">
        <v>48</v>
      </c>
    </row>
    <row r="175" spans="1:22" s="172" customFormat="1" ht="20.25" customHeight="1">
      <c r="A175" s="263" t="str">
        <f t="shared" si="39"/>
        <v/>
      </c>
      <c r="B175" s="263"/>
      <c r="C175" s="264">
        <f t="shared" si="32"/>
        <v>174</v>
      </c>
      <c r="D175" s="277" t="s">
        <v>1406</v>
      </c>
      <c r="E175" s="293">
        <f t="shared" si="42"/>
        <v>173</v>
      </c>
      <c r="F175" s="267" t="s">
        <v>52</v>
      </c>
      <c r="G175" s="267"/>
      <c r="H175" s="268"/>
      <c r="I175" s="268"/>
      <c r="J175" s="269"/>
      <c r="K175" s="269"/>
      <c r="L175" s="269"/>
      <c r="M175" s="319"/>
      <c r="N175" s="271" t="s">
        <v>81</v>
      </c>
      <c r="O175" s="327">
        <f t="shared" si="46"/>
        <v>0</v>
      </c>
      <c r="P175" s="271" t="s">
        <v>81</v>
      </c>
      <c r="Q175" s="273">
        <v>4</v>
      </c>
      <c r="R175" s="271" t="s">
        <v>162</v>
      </c>
      <c r="S175" s="290">
        <f t="shared" si="40"/>
        <v>0</v>
      </c>
      <c r="T175" s="275"/>
      <c r="U175" s="290">
        <f t="shared" si="41"/>
        <v>0</v>
      </c>
      <c r="V175" s="276" t="s">
        <v>48</v>
      </c>
    </row>
    <row r="176" spans="1:22" s="172" customFormat="1" ht="20.25" customHeight="1">
      <c r="A176" s="263" t="str">
        <f t="shared" si="39"/>
        <v/>
      </c>
      <c r="B176" s="263"/>
      <c r="C176" s="264">
        <f t="shared" si="32"/>
        <v>175</v>
      </c>
      <c r="D176" s="277" t="s">
        <v>1407</v>
      </c>
      <c r="E176" s="293">
        <f t="shared" si="42"/>
        <v>174</v>
      </c>
      <c r="F176" s="267" t="s">
        <v>44</v>
      </c>
      <c r="G176" s="267"/>
      <c r="H176" s="268"/>
      <c r="I176" s="268"/>
      <c r="J176" s="269"/>
      <c r="K176" s="269"/>
      <c r="L176" s="269"/>
      <c r="M176" s="319"/>
      <c r="N176" s="271" t="s">
        <v>81</v>
      </c>
      <c r="O176" s="327">
        <f t="shared" si="46"/>
        <v>0</v>
      </c>
      <c r="P176" s="271" t="s">
        <v>81</v>
      </c>
      <c r="Q176" s="273">
        <v>2</v>
      </c>
      <c r="R176" s="271" t="s">
        <v>162</v>
      </c>
      <c r="S176" s="290">
        <f t="shared" si="40"/>
        <v>0</v>
      </c>
      <c r="T176" s="275"/>
      <c r="U176" s="290">
        <f t="shared" si="41"/>
        <v>0</v>
      </c>
      <c r="V176" s="276" t="s">
        <v>48</v>
      </c>
    </row>
    <row r="177" spans="1:22" s="172" customFormat="1" ht="20.25" customHeight="1">
      <c r="A177" s="263" t="str">
        <f t="shared" si="39"/>
        <v/>
      </c>
      <c r="B177" s="263"/>
      <c r="C177" s="264">
        <f t="shared" si="32"/>
        <v>176</v>
      </c>
      <c r="D177" s="277" t="s">
        <v>1408</v>
      </c>
      <c r="E177" s="293">
        <f t="shared" si="42"/>
        <v>175</v>
      </c>
      <c r="F177" s="267" t="s">
        <v>44</v>
      </c>
      <c r="G177" s="267"/>
      <c r="H177" s="268"/>
      <c r="I177" s="268"/>
      <c r="J177" s="269"/>
      <c r="K177" s="269"/>
      <c r="L177" s="269"/>
      <c r="M177" s="319"/>
      <c r="N177" s="271" t="s">
        <v>81</v>
      </c>
      <c r="O177" s="327">
        <f t="shared" si="46"/>
        <v>0</v>
      </c>
      <c r="P177" s="271" t="s">
        <v>81</v>
      </c>
      <c r="Q177" s="273">
        <v>1</v>
      </c>
      <c r="R177" s="271" t="s">
        <v>162</v>
      </c>
      <c r="S177" s="290">
        <f t="shared" si="40"/>
        <v>0</v>
      </c>
      <c r="T177" s="275"/>
      <c r="U177" s="290">
        <f t="shared" si="41"/>
        <v>0</v>
      </c>
      <c r="V177" s="276" t="s">
        <v>48</v>
      </c>
    </row>
    <row r="178" spans="1:22" s="172" customFormat="1" ht="20.25" customHeight="1">
      <c r="A178" s="263">
        <f t="shared" si="39"/>
        <v>177</v>
      </c>
      <c r="B178" s="263" t="s">
        <v>1263</v>
      </c>
      <c r="C178" s="264">
        <f t="shared" si="32"/>
        <v>177</v>
      </c>
      <c r="D178" s="265" t="s">
        <v>1409</v>
      </c>
      <c r="E178" s="279"/>
      <c r="F178" s="267"/>
      <c r="G178" s="267"/>
      <c r="H178" s="268"/>
      <c r="I178" s="268"/>
      <c r="J178" s="269"/>
      <c r="K178" s="269"/>
      <c r="L178" s="269"/>
      <c r="M178" s="319"/>
      <c r="N178" s="271"/>
      <c r="O178" s="280"/>
      <c r="P178" s="271"/>
      <c r="Q178" s="281"/>
      <c r="R178" s="271"/>
      <c r="S178" s="312"/>
      <c r="T178" s="282"/>
      <c r="U178" s="312"/>
      <c r="V178" s="276"/>
    </row>
    <row r="179" spans="1:22" s="172" customFormat="1" ht="20.25" customHeight="1">
      <c r="A179" s="263">
        <f t="shared" si="39"/>
        <v>178</v>
      </c>
      <c r="B179" s="263" t="s">
        <v>1263</v>
      </c>
      <c r="C179" s="264">
        <f t="shared" si="32"/>
        <v>178</v>
      </c>
      <c r="D179" s="265" t="s">
        <v>1410</v>
      </c>
      <c r="E179" s="279">
        <f t="shared" si="42"/>
        <v>177</v>
      </c>
      <c r="F179" s="267"/>
      <c r="G179" s="267"/>
      <c r="H179" s="268"/>
      <c r="I179" s="268"/>
      <c r="J179" s="269"/>
      <c r="K179" s="269"/>
      <c r="L179" s="269"/>
      <c r="M179" s="319"/>
      <c r="N179" s="271"/>
      <c r="O179" s="280"/>
      <c r="P179" s="271"/>
      <c r="Q179" s="281"/>
      <c r="R179" s="271"/>
      <c r="S179" s="312"/>
      <c r="T179" s="282"/>
      <c r="U179" s="312"/>
      <c r="V179" s="276"/>
    </row>
    <row r="180" spans="1:22" s="172" customFormat="1" ht="20.25" customHeight="1">
      <c r="A180" s="263" t="str">
        <f t="shared" si="39"/>
        <v/>
      </c>
      <c r="B180" s="263"/>
      <c r="C180" s="264">
        <f t="shared" si="32"/>
        <v>179</v>
      </c>
      <c r="D180" s="277" t="s">
        <v>1411</v>
      </c>
      <c r="E180" s="293"/>
      <c r="F180" s="267"/>
      <c r="G180" s="267"/>
      <c r="H180" s="268"/>
      <c r="I180" s="268"/>
      <c r="J180" s="269"/>
      <c r="K180" s="269"/>
      <c r="L180" s="269"/>
      <c r="M180" s="319">
        <v>1</v>
      </c>
      <c r="N180" s="271" t="s">
        <v>81</v>
      </c>
      <c r="O180" s="327">
        <f t="shared" ref="O180" si="47">M180</f>
        <v>1</v>
      </c>
      <c r="P180" s="271" t="s">
        <v>84</v>
      </c>
      <c r="Q180" s="273">
        <v>4</v>
      </c>
      <c r="R180" s="271" t="s">
        <v>41</v>
      </c>
      <c r="S180" s="290">
        <f t="shared" si="40"/>
        <v>4</v>
      </c>
      <c r="T180" s="275"/>
      <c r="U180" s="290">
        <f t="shared" si="41"/>
        <v>4</v>
      </c>
      <c r="V180" s="276" t="s">
        <v>48</v>
      </c>
    </row>
    <row r="181" spans="1:22" s="172" customFormat="1" ht="20.25" customHeight="1">
      <c r="A181" s="263" t="str">
        <f t="shared" si="39"/>
        <v/>
      </c>
      <c r="B181" s="263"/>
      <c r="C181" s="264">
        <f t="shared" si="32"/>
        <v>180</v>
      </c>
      <c r="D181" s="277" t="s">
        <v>1412</v>
      </c>
      <c r="E181" s="293">
        <f t="shared" si="42"/>
        <v>179</v>
      </c>
      <c r="F181" s="267" t="s">
        <v>44</v>
      </c>
      <c r="G181" s="267"/>
      <c r="H181" s="316">
        <v>6</v>
      </c>
      <c r="I181" s="316"/>
      <c r="J181" s="269"/>
      <c r="K181" s="269"/>
      <c r="L181" s="269"/>
      <c r="M181" s="319">
        <v>17</v>
      </c>
      <c r="N181" s="271" t="s">
        <v>81</v>
      </c>
      <c r="O181" s="272">
        <v>1</v>
      </c>
      <c r="P181" s="271" t="s">
        <v>84</v>
      </c>
      <c r="Q181" s="273">
        <v>1</v>
      </c>
      <c r="R181" s="271" t="s">
        <v>41</v>
      </c>
      <c r="S181" s="290">
        <f t="shared" si="40"/>
        <v>1</v>
      </c>
      <c r="T181" s="275"/>
      <c r="U181" s="290">
        <f t="shared" si="41"/>
        <v>1</v>
      </c>
      <c r="V181" s="276" t="s">
        <v>48</v>
      </c>
    </row>
    <row r="182" spans="1:22" s="172" customFormat="1" ht="20.25" customHeight="1">
      <c r="A182" s="263" t="str">
        <f t="shared" si="39"/>
        <v/>
      </c>
      <c r="B182" s="263"/>
      <c r="C182" s="264">
        <f t="shared" si="32"/>
        <v>181</v>
      </c>
      <c r="D182" s="277" t="s">
        <v>1413</v>
      </c>
      <c r="E182" s="293">
        <f t="shared" si="42"/>
        <v>180</v>
      </c>
      <c r="F182" s="267" t="s">
        <v>52</v>
      </c>
      <c r="G182" s="267"/>
      <c r="H182" s="268"/>
      <c r="I182" s="268"/>
      <c r="J182" s="269"/>
      <c r="K182" s="269"/>
      <c r="L182" s="269"/>
      <c r="M182" s="319">
        <v>17</v>
      </c>
      <c r="N182" s="271" t="s">
        <v>81</v>
      </c>
      <c r="O182" s="272">
        <v>1</v>
      </c>
      <c r="P182" s="271" t="s">
        <v>84</v>
      </c>
      <c r="Q182" s="273">
        <v>5</v>
      </c>
      <c r="R182" s="271" t="s">
        <v>41</v>
      </c>
      <c r="S182" s="290">
        <f t="shared" si="40"/>
        <v>5</v>
      </c>
      <c r="T182" s="275"/>
      <c r="U182" s="290">
        <f t="shared" si="41"/>
        <v>5</v>
      </c>
      <c r="V182" s="276" t="s">
        <v>48</v>
      </c>
    </row>
    <row r="183" spans="1:22" s="172" customFormat="1" ht="20.25" customHeight="1">
      <c r="A183" s="263">
        <f t="shared" si="39"/>
        <v>182</v>
      </c>
      <c r="B183" s="263" t="s">
        <v>1263</v>
      </c>
      <c r="C183" s="264">
        <f t="shared" si="32"/>
        <v>182</v>
      </c>
      <c r="D183" s="265" t="s">
        <v>1414</v>
      </c>
      <c r="E183" s="279"/>
      <c r="F183" s="267"/>
      <c r="G183" s="267"/>
      <c r="H183" s="268"/>
      <c r="I183" s="268"/>
      <c r="J183" s="269"/>
      <c r="K183" s="269"/>
      <c r="L183" s="269"/>
      <c r="M183" s="319"/>
      <c r="N183" s="271"/>
      <c r="O183" s="280"/>
      <c r="P183" s="271"/>
      <c r="Q183" s="281"/>
      <c r="R183" s="271"/>
      <c r="S183" s="312"/>
      <c r="T183" s="282"/>
      <c r="U183" s="312"/>
      <c r="V183" s="276"/>
    </row>
    <row r="184" spans="1:22" s="172" customFormat="1" ht="20.25" customHeight="1">
      <c r="A184" s="263" t="str">
        <f t="shared" si="39"/>
        <v/>
      </c>
      <c r="B184" s="263"/>
      <c r="C184" s="264">
        <f t="shared" si="32"/>
        <v>183</v>
      </c>
      <c r="D184" s="277" t="s">
        <v>1415</v>
      </c>
      <c r="E184" s="293"/>
      <c r="F184" s="267" t="s">
        <v>201</v>
      </c>
      <c r="G184" s="267"/>
      <c r="H184" s="268"/>
      <c r="I184" s="268"/>
      <c r="J184" s="269"/>
      <c r="K184" s="269"/>
      <c r="L184" s="269"/>
      <c r="M184" s="319">
        <v>17</v>
      </c>
      <c r="N184" s="271" t="s">
        <v>81</v>
      </c>
      <c r="O184" s="327">
        <f t="shared" ref="O184" si="48">M184</f>
        <v>17</v>
      </c>
      <c r="P184" s="271" t="s">
        <v>81</v>
      </c>
      <c r="Q184" s="273">
        <v>1</v>
      </c>
      <c r="R184" s="271" t="s">
        <v>162</v>
      </c>
      <c r="S184" s="290">
        <f t="shared" si="40"/>
        <v>17</v>
      </c>
      <c r="T184" s="275"/>
      <c r="U184" s="290">
        <f t="shared" si="41"/>
        <v>17</v>
      </c>
      <c r="V184" s="276" t="s">
        <v>48</v>
      </c>
    </row>
    <row r="185" spans="1:22" s="172" customFormat="1" ht="20.25" customHeight="1">
      <c r="A185" s="263" t="str">
        <f t="shared" si="39"/>
        <v/>
      </c>
      <c r="B185" s="263"/>
      <c r="C185" s="264">
        <f t="shared" si="32"/>
        <v>184</v>
      </c>
      <c r="D185" s="277" t="s">
        <v>1416</v>
      </c>
      <c r="E185" s="293">
        <f t="shared" si="42"/>
        <v>183</v>
      </c>
      <c r="F185" s="267" t="s">
        <v>44</v>
      </c>
      <c r="G185" s="267"/>
      <c r="H185" s="268"/>
      <c r="I185" s="268"/>
      <c r="J185" s="274">
        <v>3</v>
      </c>
      <c r="K185" s="368" t="s">
        <v>1842</v>
      </c>
      <c r="L185" s="274" t="s">
        <v>203</v>
      </c>
      <c r="M185" s="319">
        <v>2</v>
      </c>
      <c r="N185" s="271" t="s">
        <v>81</v>
      </c>
      <c r="O185" s="318">
        <v>3</v>
      </c>
      <c r="P185" s="271" t="s">
        <v>81</v>
      </c>
      <c r="Q185" s="273">
        <v>2</v>
      </c>
      <c r="R185" s="271" t="s">
        <v>162</v>
      </c>
      <c r="S185" s="290">
        <f t="shared" si="40"/>
        <v>6</v>
      </c>
      <c r="T185" s="275"/>
      <c r="U185" s="290">
        <f t="shared" si="41"/>
        <v>6</v>
      </c>
      <c r="V185" s="276" t="s">
        <v>48</v>
      </c>
    </row>
    <row r="186" spans="1:22" s="172" customFormat="1" ht="20.25" customHeight="1">
      <c r="A186" s="263">
        <f t="shared" si="39"/>
        <v>185</v>
      </c>
      <c r="B186" s="263" t="s">
        <v>1263</v>
      </c>
      <c r="C186" s="264">
        <f t="shared" si="32"/>
        <v>185</v>
      </c>
      <c r="D186" s="265" t="s">
        <v>1417</v>
      </c>
      <c r="E186" s="279">
        <f>C183</f>
        <v>182</v>
      </c>
      <c r="F186" s="267"/>
      <c r="G186" s="267"/>
      <c r="H186" s="268"/>
      <c r="I186" s="268"/>
      <c r="J186" s="269"/>
      <c r="K186" s="269"/>
      <c r="L186" s="269"/>
      <c r="M186" s="319"/>
      <c r="N186" s="271"/>
      <c r="O186" s="280"/>
      <c r="P186" s="271"/>
      <c r="Q186" s="281"/>
      <c r="R186" s="271"/>
      <c r="S186" s="312"/>
      <c r="T186" s="282"/>
      <c r="U186" s="312"/>
      <c r="V186" s="276"/>
    </row>
    <row r="187" spans="1:22" s="172" customFormat="1" ht="20.25" customHeight="1">
      <c r="A187" s="263" t="str">
        <f t="shared" si="39"/>
        <v/>
      </c>
      <c r="B187" s="263"/>
      <c r="C187" s="264">
        <f t="shared" si="32"/>
        <v>186</v>
      </c>
      <c r="D187" s="277" t="s">
        <v>1417</v>
      </c>
      <c r="E187" s="293">
        <f t="shared" si="42"/>
        <v>185</v>
      </c>
      <c r="F187" s="267" t="s">
        <v>55</v>
      </c>
      <c r="G187" s="267"/>
      <c r="H187" s="316">
        <v>6</v>
      </c>
      <c r="I187" s="316"/>
      <c r="J187" s="269"/>
      <c r="K187" s="269"/>
      <c r="L187" s="269"/>
      <c r="M187" s="319">
        <v>2</v>
      </c>
      <c r="N187" s="271" t="s">
        <v>206</v>
      </c>
      <c r="O187" s="272">
        <v>1</v>
      </c>
      <c r="P187" s="271" t="s">
        <v>84</v>
      </c>
      <c r="Q187" s="273">
        <v>10</v>
      </c>
      <c r="R187" s="271" t="s">
        <v>41</v>
      </c>
      <c r="S187" s="290">
        <f t="shared" si="40"/>
        <v>10</v>
      </c>
      <c r="T187" s="275"/>
      <c r="U187" s="290">
        <f t="shared" si="41"/>
        <v>10</v>
      </c>
      <c r="V187" s="276" t="s">
        <v>42</v>
      </c>
    </row>
    <row r="188" spans="1:22" s="172" customFormat="1" ht="20.25" customHeight="1">
      <c r="A188" s="263">
        <f t="shared" si="39"/>
        <v>187</v>
      </c>
      <c r="B188" s="263" t="s">
        <v>1263</v>
      </c>
      <c r="C188" s="264">
        <f t="shared" si="32"/>
        <v>187</v>
      </c>
      <c r="D188" s="265" t="s">
        <v>1418</v>
      </c>
      <c r="E188" s="279">
        <f>C186</f>
        <v>185</v>
      </c>
      <c r="F188" s="267"/>
      <c r="G188" s="267"/>
      <c r="H188" s="268"/>
      <c r="I188" s="268"/>
      <c r="J188" s="269"/>
      <c r="K188" s="269"/>
      <c r="L188" s="269"/>
      <c r="M188" s="319"/>
      <c r="N188" s="271"/>
      <c r="O188" s="280"/>
      <c r="P188" s="271"/>
      <c r="Q188" s="281"/>
      <c r="R188" s="271"/>
      <c r="S188" s="312"/>
      <c r="T188" s="282"/>
      <c r="U188" s="312"/>
      <c r="V188" s="276"/>
    </row>
    <row r="189" spans="1:22" s="172" customFormat="1" ht="20.25" customHeight="1">
      <c r="A189" s="263" t="str">
        <f t="shared" si="39"/>
        <v/>
      </c>
      <c r="B189" s="263"/>
      <c r="C189" s="264">
        <f t="shared" si="32"/>
        <v>188</v>
      </c>
      <c r="D189" s="277" t="s">
        <v>1419</v>
      </c>
      <c r="E189" s="293"/>
      <c r="F189" s="267" t="s">
        <v>44</v>
      </c>
      <c r="G189" s="267"/>
      <c r="H189" s="268"/>
      <c r="I189" s="268"/>
      <c r="J189" s="269"/>
      <c r="K189" s="269"/>
      <c r="L189" s="269"/>
      <c r="M189" s="319">
        <v>2</v>
      </c>
      <c r="N189" s="271" t="s">
        <v>206</v>
      </c>
      <c r="O189" s="272">
        <v>4</v>
      </c>
      <c r="P189" s="271" t="s">
        <v>206</v>
      </c>
      <c r="Q189" s="273">
        <v>6</v>
      </c>
      <c r="R189" s="271" t="s">
        <v>48</v>
      </c>
      <c r="S189" s="290">
        <f t="shared" si="40"/>
        <v>24</v>
      </c>
      <c r="T189" s="275"/>
      <c r="U189" s="290">
        <f t="shared" si="41"/>
        <v>24</v>
      </c>
      <c r="V189" s="302" t="s">
        <v>48</v>
      </c>
    </row>
    <row r="190" spans="1:22" s="172" customFormat="1" ht="20.25" customHeight="1">
      <c r="A190" s="263" t="str">
        <f t="shared" si="39"/>
        <v/>
      </c>
      <c r="B190" s="263"/>
      <c r="C190" s="264">
        <f t="shared" si="32"/>
        <v>189</v>
      </c>
      <c r="D190" s="277" t="s">
        <v>1420</v>
      </c>
      <c r="E190" s="293">
        <f t="shared" si="42"/>
        <v>188</v>
      </c>
      <c r="F190" s="267" t="s">
        <v>63</v>
      </c>
      <c r="G190" s="267"/>
      <c r="H190" s="268"/>
      <c r="I190" s="268"/>
      <c r="J190" s="269"/>
      <c r="K190" s="269"/>
      <c r="L190" s="269"/>
      <c r="M190" s="319">
        <v>17</v>
      </c>
      <c r="N190" s="271" t="s">
        <v>81</v>
      </c>
      <c r="O190" s="328">
        <f>1308*9*2</f>
        <v>23544</v>
      </c>
      <c r="P190" s="296" t="s">
        <v>1274</v>
      </c>
      <c r="Q190" s="324">
        <f>1/100</f>
        <v>0.01</v>
      </c>
      <c r="R190" s="271"/>
      <c r="S190" s="290">
        <f t="shared" si="40"/>
        <v>235.44</v>
      </c>
      <c r="T190" s="275"/>
      <c r="U190" s="290">
        <f t="shared" si="41"/>
        <v>235.44</v>
      </c>
      <c r="V190" s="276" t="s">
        <v>42</v>
      </c>
    </row>
    <row r="191" spans="1:22" s="172" customFormat="1" ht="20.25" customHeight="1">
      <c r="A191" s="263">
        <f t="shared" si="39"/>
        <v>190</v>
      </c>
      <c r="B191" s="263" t="s">
        <v>1263</v>
      </c>
      <c r="C191" s="264">
        <f t="shared" si="32"/>
        <v>190</v>
      </c>
      <c r="D191" s="265" t="s">
        <v>1421</v>
      </c>
      <c r="E191" s="279">
        <f>C188</f>
        <v>187</v>
      </c>
      <c r="F191" s="267"/>
      <c r="G191" s="267"/>
      <c r="H191" s="268"/>
      <c r="I191" s="268"/>
      <c r="J191" s="269"/>
      <c r="K191" s="269"/>
      <c r="L191" s="269"/>
      <c r="M191" s="319"/>
      <c r="N191" s="271"/>
      <c r="O191" s="280"/>
      <c r="P191" s="271"/>
      <c r="Q191" s="281"/>
      <c r="R191" s="271"/>
      <c r="S191" s="312"/>
      <c r="T191" s="282"/>
      <c r="U191" s="312"/>
      <c r="V191" s="276"/>
    </row>
    <row r="192" spans="1:22" s="172" customFormat="1" ht="20.25" customHeight="1">
      <c r="A192" s="263" t="str">
        <f t="shared" si="39"/>
        <v/>
      </c>
      <c r="B192" s="263"/>
      <c r="C192" s="264">
        <f t="shared" si="32"/>
        <v>191</v>
      </c>
      <c r="D192" s="277" t="s">
        <v>1422</v>
      </c>
      <c r="E192" s="293"/>
      <c r="F192" s="267" t="s">
        <v>44</v>
      </c>
      <c r="G192" s="267"/>
      <c r="H192" s="268"/>
      <c r="I192" s="268"/>
      <c r="J192" s="269"/>
      <c r="K192" s="269"/>
      <c r="L192" s="269"/>
      <c r="M192" s="319">
        <v>2</v>
      </c>
      <c r="N192" s="271" t="s">
        <v>81</v>
      </c>
      <c r="O192" s="327">
        <f t="shared" ref="O192" si="49">M192</f>
        <v>2</v>
      </c>
      <c r="P192" s="271" t="s">
        <v>81</v>
      </c>
      <c r="Q192" s="273">
        <v>0.25</v>
      </c>
      <c r="R192" s="271" t="s">
        <v>162</v>
      </c>
      <c r="S192" s="290">
        <f t="shared" si="40"/>
        <v>0.5</v>
      </c>
      <c r="T192" s="275"/>
      <c r="U192" s="290">
        <f t="shared" si="41"/>
        <v>0.5</v>
      </c>
      <c r="V192" s="276" t="s">
        <v>48</v>
      </c>
    </row>
    <row r="193" spans="1:22" s="172" customFormat="1" ht="20.25" customHeight="1">
      <c r="A193" s="263" t="str">
        <f t="shared" si="39"/>
        <v/>
      </c>
      <c r="B193" s="263"/>
      <c r="C193" s="264">
        <f t="shared" si="32"/>
        <v>192</v>
      </c>
      <c r="D193" s="277" t="s">
        <v>1423</v>
      </c>
      <c r="E193" s="293">
        <f t="shared" si="42"/>
        <v>191</v>
      </c>
      <c r="F193" s="267" t="s">
        <v>44</v>
      </c>
      <c r="G193" s="267"/>
      <c r="H193" s="268"/>
      <c r="I193" s="268"/>
      <c r="J193" s="269"/>
      <c r="K193" s="269"/>
      <c r="L193" s="269"/>
      <c r="M193" s="319">
        <v>2</v>
      </c>
      <c r="N193" s="271" t="s">
        <v>81</v>
      </c>
      <c r="O193" s="272">
        <v>1</v>
      </c>
      <c r="P193" s="271" t="s">
        <v>84</v>
      </c>
      <c r="Q193" s="273">
        <v>1</v>
      </c>
      <c r="R193" s="271" t="s">
        <v>48</v>
      </c>
      <c r="S193" s="290">
        <f t="shared" si="40"/>
        <v>1</v>
      </c>
      <c r="T193" s="275"/>
      <c r="U193" s="290">
        <f t="shared" si="41"/>
        <v>1</v>
      </c>
      <c r="V193" s="276" t="s">
        <v>48</v>
      </c>
    </row>
    <row r="194" spans="1:22" s="172" customFormat="1" ht="20.25" customHeight="1">
      <c r="A194" s="263" t="str">
        <f t="shared" si="39"/>
        <v/>
      </c>
      <c r="B194" s="263"/>
      <c r="C194" s="264">
        <f t="shared" si="32"/>
        <v>193</v>
      </c>
      <c r="D194" s="277" t="s">
        <v>1424</v>
      </c>
      <c r="E194" s="293">
        <f t="shared" si="42"/>
        <v>192</v>
      </c>
      <c r="F194" s="267" t="s">
        <v>55</v>
      </c>
      <c r="G194" s="267"/>
      <c r="H194" s="268"/>
      <c r="I194" s="268"/>
      <c r="J194" s="269"/>
      <c r="K194" s="269"/>
      <c r="L194" s="269"/>
      <c r="M194" s="319">
        <v>2</v>
      </c>
      <c r="N194" s="271" t="s">
        <v>81</v>
      </c>
      <c r="O194" s="272">
        <v>1</v>
      </c>
      <c r="P194" s="271" t="s">
        <v>84</v>
      </c>
      <c r="Q194" s="273">
        <v>5</v>
      </c>
      <c r="R194" s="271" t="s">
        <v>41</v>
      </c>
      <c r="S194" s="290">
        <f t="shared" si="40"/>
        <v>5</v>
      </c>
      <c r="T194" s="275"/>
      <c r="U194" s="290">
        <f t="shared" si="41"/>
        <v>5</v>
      </c>
      <c r="V194" s="276" t="s">
        <v>42</v>
      </c>
    </row>
    <row r="195" spans="1:22" s="172" customFormat="1" ht="20.25" customHeight="1">
      <c r="A195" s="263" t="str">
        <f t="shared" si="39"/>
        <v/>
      </c>
      <c r="B195" s="263"/>
      <c r="C195" s="264">
        <f t="shared" si="32"/>
        <v>194</v>
      </c>
      <c r="D195" s="277" t="s">
        <v>1425</v>
      </c>
      <c r="E195" s="293">
        <f t="shared" si="42"/>
        <v>193</v>
      </c>
      <c r="F195" s="267" t="s">
        <v>55</v>
      </c>
      <c r="G195" s="267"/>
      <c r="H195" s="268"/>
      <c r="I195" s="268"/>
      <c r="J195" s="269"/>
      <c r="K195" s="269"/>
      <c r="L195" s="269"/>
      <c r="M195" s="319">
        <v>2</v>
      </c>
      <c r="N195" s="271" t="s">
        <v>81</v>
      </c>
      <c r="O195" s="272">
        <v>1</v>
      </c>
      <c r="P195" s="271" t="s">
        <v>84</v>
      </c>
      <c r="Q195" s="273">
        <v>5</v>
      </c>
      <c r="R195" s="271" t="s">
        <v>41</v>
      </c>
      <c r="S195" s="290">
        <f t="shared" si="40"/>
        <v>5</v>
      </c>
      <c r="T195" s="275"/>
      <c r="U195" s="290">
        <f t="shared" si="41"/>
        <v>5</v>
      </c>
      <c r="V195" s="276" t="s">
        <v>42</v>
      </c>
    </row>
    <row r="196" spans="1:22" s="172" customFormat="1" ht="20.25" customHeight="1">
      <c r="A196" s="263" t="str">
        <f t="shared" si="39"/>
        <v/>
      </c>
      <c r="B196" s="263"/>
      <c r="C196" s="264">
        <f t="shared" ref="C196:C259" si="50">C195+1</f>
        <v>195</v>
      </c>
      <c r="D196" s="277" t="s">
        <v>1426</v>
      </c>
      <c r="E196" s="293">
        <f t="shared" si="42"/>
        <v>194</v>
      </c>
      <c r="F196" s="267" t="s">
        <v>217</v>
      </c>
      <c r="G196" s="267"/>
      <c r="H196" s="268"/>
      <c r="I196" s="268"/>
      <c r="J196" s="269"/>
      <c r="K196" s="269"/>
      <c r="L196" s="269"/>
      <c r="M196" s="319">
        <v>2</v>
      </c>
      <c r="N196" s="271" t="s">
        <v>81</v>
      </c>
      <c r="O196" s="272">
        <v>1</v>
      </c>
      <c r="P196" s="271" t="s">
        <v>84</v>
      </c>
      <c r="Q196" s="273">
        <v>1</v>
      </c>
      <c r="R196" s="271" t="s">
        <v>41</v>
      </c>
      <c r="S196" s="290">
        <f t="shared" si="40"/>
        <v>1</v>
      </c>
      <c r="T196" s="275"/>
      <c r="U196" s="290">
        <f t="shared" si="41"/>
        <v>1</v>
      </c>
      <c r="V196" s="276" t="s">
        <v>42</v>
      </c>
    </row>
    <row r="197" spans="1:22" s="172" customFormat="1" ht="20.25" customHeight="1">
      <c r="A197" s="263">
        <f t="shared" si="39"/>
        <v>196</v>
      </c>
      <c r="B197" s="263" t="s">
        <v>1263</v>
      </c>
      <c r="C197" s="264">
        <f t="shared" si="50"/>
        <v>196</v>
      </c>
      <c r="D197" s="265" t="s">
        <v>1427</v>
      </c>
      <c r="E197" s="279">
        <f>C191</f>
        <v>190</v>
      </c>
      <c r="F197" s="267"/>
      <c r="G197" s="267"/>
      <c r="H197" s="268"/>
      <c r="I197" s="268"/>
      <c r="J197" s="269"/>
      <c r="K197" s="269"/>
      <c r="L197" s="269"/>
      <c r="M197" s="319"/>
      <c r="N197" s="271"/>
      <c r="O197" s="280"/>
      <c r="P197" s="271"/>
      <c r="Q197" s="281"/>
      <c r="R197" s="271"/>
      <c r="S197" s="312"/>
      <c r="T197" s="282"/>
      <c r="U197" s="312"/>
      <c r="V197" s="276"/>
    </row>
    <row r="198" spans="1:22" s="172" customFormat="1" ht="20.25" customHeight="1">
      <c r="A198" s="263" t="str">
        <f t="shared" si="39"/>
        <v/>
      </c>
      <c r="B198" s="263"/>
      <c r="C198" s="264">
        <f t="shared" si="50"/>
        <v>197</v>
      </c>
      <c r="D198" s="277" t="s">
        <v>1428</v>
      </c>
      <c r="E198" s="293"/>
      <c r="F198" s="267"/>
      <c r="G198" s="267"/>
      <c r="H198" s="268"/>
      <c r="I198" s="268"/>
      <c r="J198" s="269"/>
      <c r="K198" s="269"/>
      <c r="L198" s="269"/>
      <c r="M198" s="319">
        <v>1</v>
      </c>
      <c r="N198" s="271" t="s">
        <v>81</v>
      </c>
      <c r="O198" s="318">
        <v>1</v>
      </c>
      <c r="P198" s="271" t="s">
        <v>84</v>
      </c>
      <c r="Q198" s="273">
        <v>4</v>
      </c>
      <c r="R198" s="271" t="s">
        <v>41</v>
      </c>
      <c r="S198" s="290">
        <f t="shared" si="40"/>
        <v>4</v>
      </c>
      <c r="T198" s="275"/>
      <c r="U198" s="290">
        <f t="shared" si="41"/>
        <v>4</v>
      </c>
      <c r="V198" s="276" t="s">
        <v>42</v>
      </c>
    </row>
    <row r="199" spans="1:22" s="172" customFormat="1" ht="20.25" customHeight="1">
      <c r="A199" s="263" t="str">
        <f t="shared" si="39"/>
        <v/>
      </c>
      <c r="B199" s="263"/>
      <c r="C199" s="264">
        <f t="shared" si="50"/>
        <v>198</v>
      </c>
      <c r="D199" s="277" t="s">
        <v>1429</v>
      </c>
      <c r="E199" s="293">
        <f t="shared" si="42"/>
        <v>197</v>
      </c>
      <c r="F199" s="267" t="s">
        <v>55</v>
      </c>
      <c r="G199" s="267"/>
      <c r="H199" s="316">
        <v>14</v>
      </c>
      <c r="I199" s="316"/>
      <c r="J199" s="269"/>
      <c r="K199" s="269"/>
      <c r="L199" s="269"/>
      <c r="M199" s="319">
        <v>1</v>
      </c>
      <c r="N199" s="271" t="s">
        <v>81</v>
      </c>
      <c r="O199" s="272">
        <v>1</v>
      </c>
      <c r="P199" s="271" t="s">
        <v>84</v>
      </c>
      <c r="Q199" s="273">
        <v>1</v>
      </c>
      <c r="R199" s="271" t="s">
        <v>41</v>
      </c>
      <c r="S199" s="290">
        <f t="shared" si="40"/>
        <v>1</v>
      </c>
      <c r="T199" s="275"/>
      <c r="U199" s="290">
        <f t="shared" si="41"/>
        <v>1</v>
      </c>
      <c r="V199" s="276" t="s">
        <v>42</v>
      </c>
    </row>
    <row r="200" spans="1:22" s="172" customFormat="1" ht="20.25" customHeight="1">
      <c r="A200" s="263" t="str">
        <f t="shared" si="39"/>
        <v/>
      </c>
      <c r="B200" s="263"/>
      <c r="C200" s="264">
        <f t="shared" si="50"/>
        <v>199</v>
      </c>
      <c r="D200" s="277" t="s">
        <v>1430</v>
      </c>
      <c r="E200" s="293">
        <f t="shared" si="42"/>
        <v>198</v>
      </c>
      <c r="F200" s="267" t="s">
        <v>55</v>
      </c>
      <c r="G200" s="267"/>
      <c r="H200" s="268"/>
      <c r="I200" s="268"/>
      <c r="J200" s="269"/>
      <c r="K200" s="269"/>
      <c r="L200" s="269"/>
      <c r="M200" s="319">
        <v>1</v>
      </c>
      <c r="N200" s="271" t="s">
        <v>81</v>
      </c>
      <c r="O200" s="272">
        <v>1</v>
      </c>
      <c r="P200" s="271" t="s">
        <v>84</v>
      </c>
      <c r="Q200" s="273">
        <v>5</v>
      </c>
      <c r="R200" s="271" t="s">
        <v>41</v>
      </c>
      <c r="S200" s="290">
        <f t="shared" si="40"/>
        <v>5</v>
      </c>
      <c r="T200" s="275"/>
      <c r="U200" s="290">
        <f t="shared" si="41"/>
        <v>5</v>
      </c>
      <c r="V200" s="276" t="s">
        <v>42</v>
      </c>
    </row>
    <row r="201" spans="1:22" s="172" customFormat="1" ht="20.25" customHeight="1">
      <c r="A201" s="263">
        <f t="shared" si="39"/>
        <v>200</v>
      </c>
      <c r="B201" s="263" t="s">
        <v>1263</v>
      </c>
      <c r="C201" s="264">
        <f t="shared" si="50"/>
        <v>200</v>
      </c>
      <c r="D201" s="265" t="s">
        <v>1431</v>
      </c>
      <c r="E201" s="279">
        <f>C197</f>
        <v>196</v>
      </c>
      <c r="F201" s="267"/>
      <c r="G201" s="267"/>
      <c r="H201" s="268"/>
      <c r="I201" s="268"/>
      <c r="J201" s="269"/>
      <c r="K201" s="269"/>
      <c r="L201" s="269"/>
      <c r="M201" s="319"/>
      <c r="N201" s="271"/>
      <c r="O201" s="280"/>
      <c r="P201" s="271"/>
      <c r="Q201" s="281"/>
      <c r="R201" s="271"/>
      <c r="S201" s="312"/>
      <c r="T201" s="282"/>
      <c r="U201" s="312"/>
      <c r="V201" s="276"/>
    </row>
    <row r="202" spans="1:22" s="172" customFormat="1" ht="20.25" customHeight="1">
      <c r="A202" s="263" t="str">
        <f t="shared" si="39"/>
        <v/>
      </c>
      <c r="B202" s="263"/>
      <c r="C202" s="264">
        <f t="shared" si="50"/>
        <v>201</v>
      </c>
      <c r="D202" s="277" t="s">
        <v>1432</v>
      </c>
      <c r="E202" s="293"/>
      <c r="F202" s="267" t="s">
        <v>224</v>
      </c>
      <c r="G202" s="267"/>
      <c r="H202" s="268"/>
      <c r="I202" s="268"/>
      <c r="J202" s="269"/>
      <c r="K202" s="269"/>
      <c r="L202" s="269"/>
      <c r="M202" s="319">
        <v>1</v>
      </c>
      <c r="N202" s="271" t="s">
        <v>81</v>
      </c>
      <c r="O202" s="327">
        <f t="shared" ref="O202:O203" si="51">M202</f>
        <v>1</v>
      </c>
      <c r="P202" s="271" t="s">
        <v>81</v>
      </c>
      <c r="Q202" s="273">
        <v>2</v>
      </c>
      <c r="R202" s="271" t="s">
        <v>162</v>
      </c>
      <c r="S202" s="290">
        <f t="shared" si="40"/>
        <v>2</v>
      </c>
      <c r="T202" s="275"/>
      <c r="U202" s="290">
        <f t="shared" si="41"/>
        <v>2</v>
      </c>
      <c r="V202" s="302" t="s">
        <v>48</v>
      </c>
    </row>
    <row r="203" spans="1:22" s="172" customFormat="1" ht="20.25" customHeight="1">
      <c r="A203" s="263" t="str">
        <f t="shared" si="39"/>
        <v/>
      </c>
      <c r="B203" s="263"/>
      <c r="C203" s="264">
        <f t="shared" si="50"/>
        <v>202</v>
      </c>
      <c r="D203" s="277" t="s">
        <v>1433</v>
      </c>
      <c r="E203" s="293">
        <f t="shared" si="42"/>
        <v>201</v>
      </c>
      <c r="F203" s="267" t="s">
        <v>44</v>
      </c>
      <c r="G203" s="267"/>
      <c r="H203" s="268"/>
      <c r="I203" s="268"/>
      <c r="J203" s="269"/>
      <c r="K203" s="269"/>
      <c r="L203" s="269"/>
      <c r="M203" s="319"/>
      <c r="N203" s="271" t="s">
        <v>81</v>
      </c>
      <c r="O203" s="327">
        <f t="shared" si="51"/>
        <v>0</v>
      </c>
      <c r="P203" s="271" t="s">
        <v>81</v>
      </c>
      <c r="Q203" s="273">
        <v>0.5</v>
      </c>
      <c r="R203" s="271" t="s">
        <v>162</v>
      </c>
      <c r="S203" s="290">
        <f t="shared" si="40"/>
        <v>0</v>
      </c>
      <c r="T203" s="275"/>
      <c r="U203" s="290">
        <f t="shared" si="41"/>
        <v>0</v>
      </c>
      <c r="V203" s="302" t="s">
        <v>48</v>
      </c>
    </row>
    <row r="204" spans="1:22" s="172" customFormat="1" ht="20.25" customHeight="1">
      <c r="A204" s="263">
        <f t="shared" si="39"/>
        <v>203</v>
      </c>
      <c r="B204" s="263" t="s">
        <v>1263</v>
      </c>
      <c r="C204" s="264">
        <f t="shared" si="50"/>
        <v>203</v>
      </c>
      <c r="D204" s="265" t="s">
        <v>1434</v>
      </c>
      <c r="E204" s="279">
        <f>C201</f>
        <v>200</v>
      </c>
      <c r="F204" s="267"/>
      <c r="G204" s="267"/>
      <c r="H204" s="268"/>
      <c r="I204" s="268"/>
      <c r="J204" s="269"/>
      <c r="K204" s="269"/>
      <c r="L204" s="269"/>
      <c r="M204" s="319"/>
      <c r="N204" s="271"/>
      <c r="O204" s="280"/>
      <c r="P204" s="271"/>
      <c r="Q204" s="281"/>
      <c r="R204" s="271"/>
      <c r="S204" s="312"/>
      <c r="T204" s="282"/>
      <c r="U204" s="312"/>
      <c r="V204" s="276"/>
    </row>
    <row r="205" spans="1:22" s="172" customFormat="1" ht="20.25" customHeight="1">
      <c r="A205" s="263" t="str">
        <f t="shared" si="39"/>
        <v/>
      </c>
      <c r="B205" s="263"/>
      <c r="C205" s="264">
        <f t="shared" si="50"/>
        <v>204</v>
      </c>
      <c r="D205" s="277" t="s">
        <v>1435</v>
      </c>
      <c r="E205" s="293">
        <f t="shared" si="42"/>
        <v>203</v>
      </c>
      <c r="F205" s="267" t="s">
        <v>55</v>
      </c>
      <c r="G205" s="267"/>
      <c r="H205" s="314">
        <v>14</v>
      </c>
      <c r="I205" s="322" t="s">
        <v>1112</v>
      </c>
      <c r="J205" s="269"/>
      <c r="K205" s="269"/>
      <c r="L205" s="269"/>
      <c r="M205" s="319">
        <v>1</v>
      </c>
      <c r="N205" s="271" t="s">
        <v>206</v>
      </c>
      <c r="O205" s="272">
        <v>1</v>
      </c>
      <c r="P205" s="271" t="s">
        <v>84</v>
      </c>
      <c r="Q205" s="273">
        <v>10</v>
      </c>
      <c r="R205" s="271" t="s">
        <v>41</v>
      </c>
      <c r="S205" s="290">
        <f t="shared" si="40"/>
        <v>10</v>
      </c>
      <c r="T205" s="275"/>
      <c r="U205" s="290">
        <f t="shared" si="41"/>
        <v>10</v>
      </c>
      <c r="V205" s="276"/>
    </row>
    <row r="206" spans="1:22" s="172" customFormat="1" ht="20.25" customHeight="1">
      <c r="A206" s="263">
        <f t="shared" si="39"/>
        <v>205</v>
      </c>
      <c r="B206" s="263" t="s">
        <v>1263</v>
      </c>
      <c r="C206" s="264">
        <f t="shared" si="50"/>
        <v>205</v>
      </c>
      <c r="D206" s="265" t="s">
        <v>1436</v>
      </c>
      <c r="E206" s="279">
        <f>C204</f>
        <v>203</v>
      </c>
      <c r="F206" s="267"/>
      <c r="G206" s="267"/>
      <c r="H206" s="268"/>
      <c r="I206" s="268"/>
      <c r="J206" s="269"/>
      <c r="K206" s="269"/>
      <c r="L206" s="269"/>
      <c r="M206" s="319"/>
      <c r="N206" s="271"/>
      <c r="O206" s="280"/>
      <c r="P206" s="271"/>
      <c r="Q206" s="281"/>
      <c r="R206" s="271"/>
      <c r="S206" s="312"/>
      <c r="T206" s="282"/>
      <c r="U206" s="312"/>
      <c r="V206" s="276"/>
    </row>
    <row r="207" spans="1:22" s="172" customFormat="1" ht="20.25" customHeight="1">
      <c r="A207" s="263" t="str">
        <f t="shared" si="39"/>
        <v/>
      </c>
      <c r="B207" s="263"/>
      <c r="C207" s="264">
        <f t="shared" si="50"/>
        <v>206</v>
      </c>
      <c r="D207" s="277" t="s">
        <v>1437</v>
      </c>
      <c r="E207" s="293"/>
      <c r="F207" s="267" t="s">
        <v>44</v>
      </c>
      <c r="G207" s="267"/>
      <c r="H207" s="268"/>
      <c r="I207" s="268"/>
      <c r="J207" s="269"/>
      <c r="K207" s="269"/>
      <c r="L207" s="269"/>
      <c r="M207" s="319"/>
      <c r="N207" s="271" t="s">
        <v>206</v>
      </c>
      <c r="O207" s="272">
        <v>1</v>
      </c>
      <c r="P207" s="271" t="s">
        <v>206</v>
      </c>
      <c r="Q207" s="273">
        <v>3</v>
      </c>
      <c r="R207" s="271" t="s">
        <v>48</v>
      </c>
      <c r="S207" s="290">
        <f t="shared" si="40"/>
        <v>3</v>
      </c>
      <c r="T207" s="275"/>
      <c r="U207" s="290">
        <f t="shared" si="41"/>
        <v>3</v>
      </c>
      <c r="V207" s="276" t="s">
        <v>48</v>
      </c>
    </row>
    <row r="208" spans="1:22" s="172" customFormat="1" ht="20.25" customHeight="1">
      <c r="A208" s="263" t="str">
        <f t="shared" si="39"/>
        <v/>
      </c>
      <c r="B208" s="263"/>
      <c r="C208" s="264">
        <f t="shared" si="50"/>
        <v>207</v>
      </c>
      <c r="D208" s="277" t="s">
        <v>1438</v>
      </c>
      <c r="E208" s="293">
        <f t="shared" si="42"/>
        <v>206</v>
      </c>
      <c r="F208" s="267" t="s">
        <v>63</v>
      </c>
      <c r="G208" s="267"/>
      <c r="H208" s="268"/>
      <c r="I208" s="268"/>
      <c r="J208" s="269"/>
      <c r="K208" s="269"/>
      <c r="L208" s="269"/>
      <c r="M208" s="319">
        <v>1</v>
      </c>
      <c r="N208" s="271" t="s">
        <v>232</v>
      </c>
      <c r="O208" s="327">
        <f>1308*2*1</f>
        <v>2616</v>
      </c>
      <c r="P208" s="296" t="s">
        <v>1274</v>
      </c>
      <c r="Q208" s="324">
        <f>1/100</f>
        <v>0.01</v>
      </c>
      <c r="R208" s="271"/>
      <c r="S208" s="290">
        <f t="shared" si="40"/>
        <v>26.16</v>
      </c>
      <c r="T208" s="275"/>
      <c r="U208" s="290">
        <f t="shared" si="41"/>
        <v>26.16</v>
      </c>
      <c r="V208" s="276"/>
    </row>
    <row r="209" spans="1:22" s="172" customFormat="1" ht="20.25" customHeight="1">
      <c r="A209" s="263">
        <f t="shared" si="39"/>
        <v>208</v>
      </c>
      <c r="B209" s="263" t="s">
        <v>1263</v>
      </c>
      <c r="C209" s="264">
        <f t="shared" si="50"/>
        <v>208</v>
      </c>
      <c r="D209" s="265" t="s">
        <v>1439</v>
      </c>
      <c r="E209" s="279">
        <f>C23</f>
        <v>22</v>
      </c>
      <c r="F209" s="267"/>
      <c r="G209" s="267"/>
      <c r="H209" s="268"/>
      <c r="I209" s="268"/>
      <c r="J209" s="269"/>
      <c r="K209" s="269"/>
      <c r="L209" s="269"/>
      <c r="M209" s="319"/>
      <c r="N209" s="271"/>
      <c r="O209" s="280"/>
      <c r="P209" s="271"/>
      <c r="Q209" s="281"/>
      <c r="R209" s="271"/>
      <c r="S209" s="312"/>
      <c r="T209" s="282"/>
      <c r="U209" s="312"/>
      <c r="V209" s="276"/>
    </row>
    <row r="210" spans="1:22" s="172" customFormat="1" ht="20.25" customHeight="1">
      <c r="A210" s="263" t="str">
        <f t="shared" si="39"/>
        <v/>
      </c>
      <c r="B210" s="263"/>
      <c r="C210" s="264">
        <f t="shared" si="50"/>
        <v>209</v>
      </c>
      <c r="D210" s="277" t="s">
        <v>1440</v>
      </c>
      <c r="E210" s="293"/>
      <c r="F210" s="267"/>
      <c r="G210" s="267"/>
      <c r="H210" s="268"/>
      <c r="I210" s="268"/>
      <c r="J210" s="269"/>
      <c r="K210" s="269"/>
      <c r="L210" s="269"/>
      <c r="M210" s="319">
        <v>1</v>
      </c>
      <c r="N210" s="271" t="s">
        <v>81</v>
      </c>
      <c r="O210" s="327">
        <f t="shared" ref="O210:O213" si="52">M210</f>
        <v>1</v>
      </c>
      <c r="P210" s="271" t="s">
        <v>84</v>
      </c>
      <c r="Q210" s="273">
        <v>4</v>
      </c>
      <c r="R210" s="271" t="s">
        <v>41</v>
      </c>
      <c r="S210" s="290">
        <f t="shared" si="40"/>
        <v>4</v>
      </c>
      <c r="T210" s="275"/>
      <c r="U210" s="290">
        <f t="shared" si="41"/>
        <v>4</v>
      </c>
      <c r="V210" s="276" t="s">
        <v>42</v>
      </c>
    </row>
    <row r="211" spans="1:22" s="172" customFormat="1" ht="20.25" customHeight="1">
      <c r="A211" s="263" t="str">
        <f t="shared" si="39"/>
        <v/>
      </c>
      <c r="B211" s="263"/>
      <c r="C211" s="264">
        <f t="shared" si="50"/>
        <v>210</v>
      </c>
      <c r="D211" s="277" t="s">
        <v>1441</v>
      </c>
      <c r="E211" s="293">
        <f t="shared" si="42"/>
        <v>209</v>
      </c>
      <c r="F211" s="267" t="s">
        <v>44</v>
      </c>
      <c r="G211" s="267"/>
      <c r="H211" s="268"/>
      <c r="I211" s="268"/>
      <c r="J211" s="269"/>
      <c r="K211" s="269"/>
      <c r="L211" s="269"/>
      <c r="M211" s="319">
        <v>6</v>
      </c>
      <c r="N211" s="271" t="s">
        <v>81</v>
      </c>
      <c r="O211" s="321">
        <f t="shared" si="52"/>
        <v>6</v>
      </c>
      <c r="P211" s="271" t="s">
        <v>81</v>
      </c>
      <c r="Q211" s="273">
        <v>0.25</v>
      </c>
      <c r="R211" s="271" t="s">
        <v>162</v>
      </c>
      <c r="S211" s="290">
        <f t="shared" si="40"/>
        <v>1.5</v>
      </c>
      <c r="T211" s="275"/>
      <c r="U211" s="290">
        <f t="shared" si="41"/>
        <v>1.5</v>
      </c>
      <c r="V211" s="276" t="s">
        <v>48</v>
      </c>
    </row>
    <row r="212" spans="1:22" s="172" customFormat="1" ht="20.25" customHeight="1">
      <c r="A212" s="263" t="str">
        <f t="shared" si="39"/>
        <v/>
      </c>
      <c r="B212" s="263"/>
      <c r="C212" s="264">
        <f t="shared" si="50"/>
        <v>211</v>
      </c>
      <c r="D212" s="277" t="s">
        <v>1442</v>
      </c>
      <c r="E212" s="293">
        <f t="shared" si="42"/>
        <v>210</v>
      </c>
      <c r="F212" s="267" t="s">
        <v>238</v>
      </c>
      <c r="G212" s="267"/>
      <c r="H212" s="268"/>
      <c r="I212" s="268"/>
      <c r="J212" s="269"/>
      <c r="K212" s="269"/>
      <c r="L212" s="269"/>
      <c r="M212" s="319">
        <v>6</v>
      </c>
      <c r="N212" s="271" t="s">
        <v>81</v>
      </c>
      <c r="O212" s="321">
        <f t="shared" si="52"/>
        <v>6</v>
      </c>
      <c r="P212" s="271" t="s">
        <v>81</v>
      </c>
      <c r="Q212" s="273">
        <v>0.45</v>
      </c>
      <c r="R212" s="271" t="s">
        <v>162</v>
      </c>
      <c r="S212" s="290">
        <f t="shared" si="40"/>
        <v>2.7</v>
      </c>
      <c r="T212" s="275"/>
      <c r="U212" s="290">
        <f t="shared" si="41"/>
        <v>2.7</v>
      </c>
      <c r="V212" s="276" t="s">
        <v>48</v>
      </c>
    </row>
    <row r="213" spans="1:22" s="172" customFormat="1" ht="20.25" customHeight="1">
      <c r="A213" s="263" t="str">
        <f t="shared" si="39"/>
        <v/>
      </c>
      <c r="B213" s="263"/>
      <c r="C213" s="264">
        <f t="shared" si="50"/>
        <v>212</v>
      </c>
      <c r="D213" s="277" t="s">
        <v>1443</v>
      </c>
      <c r="E213" s="293">
        <f t="shared" si="42"/>
        <v>211</v>
      </c>
      <c r="F213" s="267" t="s">
        <v>240</v>
      </c>
      <c r="G213" s="267"/>
      <c r="H213" s="268"/>
      <c r="I213" s="268"/>
      <c r="J213" s="269"/>
      <c r="K213" s="269"/>
      <c r="L213" s="269"/>
      <c r="M213" s="319">
        <v>6</v>
      </c>
      <c r="N213" s="271" t="s">
        <v>81</v>
      </c>
      <c r="O213" s="321">
        <f t="shared" si="52"/>
        <v>6</v>
      </c>
      <c r="P213" s="271" t="s">
        <v>81</v>
      </c>
      <c r="Q213" s="273">
        <v>0.5</v>
      </c>
      <c r="R213" s="271" t="s">
        <v>162</v>
      </c>
      <c r="S213" s="290">
        <f t="shared" si="40"/>
        <v>3</v>
      </c>
      <c r="T213" s="275"/>
      <c r="U213" s="290">
        <f t="shared" si="41"/>
        <v>3</v>
      </c>
      <c r="V213" s="276" t="s">
        <v>48</v>
      </c>
    </row>
    <row r="214" spans="1:22" s="172" customFormat="1" ht="20.25" customHeight="1">
      <c r="A214" s="263">
        <f t="shared" si="39"/>
        <v>213</v>
      </c>
      <c r="B214" s="263" t="s">
        <v>1263</v>
      </c>
      <c r="C214" s="264">
        <f t="shared" si="50"/>
        <v>213</v>
      </c>
      <c r="D214" s="265" t="s">
        <v>1444</v>
      </c>
      <c r="E214" s="279">
        <f>C22</f>
        <v>21</v>
      </c>
      <c r="F214" s="267"/>
      <c r="G214" s="267"/>
      <c r="H214" s="268"/>
      <c r="I214" s="268"/>
      <c r="J214" s="269"/>
      <c r="K214" s="269"/>
      <c r="L214" s="269"/>
      <c r="M214" s="319"/>
      <c r="N214" s="271"/>
      <c r="O214" s="280"/>
      <c r="P214" s="271"/>
      <c r="Q214" s="281"/>
      <c r="R214" s="271"/>
      <c r="S214" s="312"/>
      <c r="T214" s="282"/>
      <c r="U214" s="312"/>
      <c r="V214" s="276"/>
    </row>
    <row r="215" spans="1:22" s="172" customFormat="1" ht="20.25" customHeight="1">
      <c r="A215" s="263" t="str">
        <f t="shared" si="39"/>
        <v/>
      </c>
      <c r="B215" s="263"/>
      <c r="C215" s="264">
        <f t="shared" si="50"/>
        <v>214</v>
      </c>
      <c r="D215" s="277" t="s">
        <v>1445</v>
      </c>
      <c r="E215" s="293"/>
      <c r="F215" s="267"/>
      <c r="G215" s="267"/>
      <c r="H215" s="268"/>
      <c r="I215" s="268"/>
      <c r="J215" s="269"/>
      <c r="K215" s="269"/>
      <c r="L215" s="269"/>
      <c r="M215" s="319">
        <v>1</v>
      </c>
      <c r="N215" s="271" t="s">
        <v>81</v>
      </c>
      <c r="O215" s="327">
        <f t="shared" ref="O215:O218" si="53">M215</f>
        <v>1</v>
      </c>
      <c r="P215" s="271" t="s">
        <v>84</v>
      </c>
      <c r="Q215" s="273">
        <v>4</v>
      </c>
      <c r="R215" s="271" t="s">
        <v>41</v>
      </c>
      <c r="S215" s="290">
        <f t="shared" si="40"/>
        <v>4</v>
      </c>
      <c r="T215" s="275"/>
      <c r="U215" s="290">
        <f t="shared" si="41"/>
        <v>4</v>
      </c>
      <c r="V215" s="276" t="s">
        <v>48</v>
      </c>
    </row>
    <row r="216" spans="1:22" s="172" customFormat="1" ht="20.25" customHeight="1">
      <c r="A216" s="263" t="str">
        <f t="shared" si="39"/>
        <v/>
      </c>
      <c r="B216" s="263"/>
      <c r="C216" s="264">
        <f t="shared" si="50"/>
        <v>215</v>
      </c>
      <c r="D216" s="277" t="s">
        <v>1446</v>
      </c>
      <c r="E216" s="293">
        <f t="shared" si="42"/>
        <v>214</v>
      </c>
      <c r="F216" s="267" t="s">
        <v>44</v>
      </c>
      <c r="G216" s="267"/>
      <c r="H216" s="268"/>
      <c r="I216" s="268"/>
      <c r="J216" s="269"/>
      <c r="K216" s="269"/>
      <c r="L216" s="269"/>
      <c r="M216" s="319">
        <v>72</v>
      </c>
      <c r="N216" s="271" t="s">
        <v>81</v>
      </c>
      <c r="O216" s="321">
        <f t="shared" si="53"/>
        <v>72</v>
      </c>
      <c r="P216" s="271" t="s">
        <v>81</v>
      </c>
      <c r="Q216" s="273">
        <v>0.1</v>
      </c>
      <c r="R216" s="271" t="s">
        <v>162</v>
      </c>
      <c r="S216" s="290">
        <f t="shared" si="40"/>
        <v>7.2</v>
      </c>
      <c r="T216" s="275"/>
      <c r="U216" s="290">
        <f t="shared" si="41"/>
        <v>7.2</v>
      </c>
      <c r="V216" s="276" t="s">
        <v>48</v>
      </c>
    </row>
    <row r="217" spans="1:22" s="172" customFormat="1" ht="20.25" customHeight="1">
      <c r="A217" s="263" t="str">
        <f t="shared" si="39"/>
        <v/>
      </c>
      <c r="B217" s="263"/>
      <c r="C217" s="264">
        <f t="shared" si="50"/>
        <v>216</v>
      </c>
      <c r="D217" s="277" t="s">
        <v>1447</v>
      </c>
      <c r="E217" s="293">
        <f t="shared" si="42"/>
        <v>215</v>
      </c>
      <c r="F217" s="267" t="s">
        <v>238</v>
      </c>
      <c r="G217" s="267"/>
      <c r="H217" s="268"/>
      <c r="I217" s="268"/>
      <c r="J217" s="269"/>
      <c r="K217" s="269"/>
      <c r="L217" s="269"/>
      <c r="M217" s="319">
        <v>72</v>
      </c>
      <c r="N217" s="271" t="s">
        <v>81</v>
      </c>
      <c r="O217" s="321">
        <f t="shared" si="53"/>
        <v>72</v>
      </c>
      <c r="P217" s="271" t="s">
        <v>81</v>
      </c>
      <c r="Q217" s="273">
        <v>0.1</v>
      </c>
      <c r="R217" s="271" t="s">
        <v>162</v>
      </c>
      <c r="S217" s="290">
        <f t="shared" si="40"/>
        <v>7.2</v>
      </c>
      <c r="T217" s="275"/>
      <c r="U217" s="290">
        <f t="shared" si="41"/>
        <v>7.2</v>
      </c>
      <c r="V217" s="276" t="s">
        <v>48</v>
      </c>
    </row>
    <row r="218" spans="1:22" s="172" customFormat="1" ht="20.25" customHeight="1">
      <c r="A218" s="263" t="str">
        <f t="shared" si="39"/>
        <v/>
      </c>
      <c r="B218" s="263"/>
      <c r="C218" s="264">
        <f t="shared" si="50"/>
        <v>217</v>
      </c>
      <c r="D218" s="277" t="s">
        <v>1448</v>
      </c>
      <c r="E218" s="293">
        <f t="shared" si="42"/>
        <v>216</v>
      </c>
      <c r="F218" s="267" t="s">
        <v>217</v>
      </c>
      <c r="G218" s="267"/>
      <c r="H218" s="268"/>
      <c r="I218" s="268"/>
      <c r="J218" s="269"/>
      <c r="K218" s="269"/>
      <c r="L218" s="269"/>
      <c r="M218" s="319">
        <v>72</v>
      </c>
      <c r="N218" s="271" t="s">
        <v>81</v>
      </c>
      <c r="O218" s="321">
        <f t="shared" si="53"/>
        <v>72</v>
      </c>
      <c r="P218" s="271" t="s">
        <v>81</v>
      </c>
      <c r="Q218" s="324">
        <f>1/60</f>
        <v>1.6666666666666666E-2</v>
      </c>
      <c r="R218" s="271" t="s">
        <v>162</v>
      </c>
      <c r="S218" s="290">
        <f t="shared" si="40"/>
        <v>1.2</v>
      </c>
      <c r="T218" s="275"/>
      <c r="U218" s="290">
        <f t="shared" si="41"/>
        <v>1.2</v>
      </c>
      <c r="V218" s="276" t="s">
        <v>48</v>
      </c>
    </row>
    <row r="219" spans="1:22" s="172" customFormat="1" ht="20.25" customHeight="1">
      <c r="A219" s="263">
        <f t="shared" si="39"/>
        <v>218</v>
      </c>
      <c r="B219" s="263" t="s">
        <v>1263</v>
      </c>
      <c r="C219" s="264">
        <f t="shared" si="50"/>
        <v>218</v>
      </c>
      <c r="D219" s="265" t="s">
        <v>1449</v>
      </c>
      <c r="E219" s="279">
        <f>C17</f>
        <v>16</v>
      </c>
      <c r="F219" s="267"/>
      <c r="G219" s="267"/>
      <c r="H219" s="268"/>
      <c r="I219" s="268"/>
      <c r="J219" s="269"/>
      <c r="K219" s="269"/>
      <c r="L219" s="269"/>
      <c r="M219" s="319"/>
      <c r="N219" s="271"/>
      <c r="O219" s="280"/>
      <c r="P219" s="271"/>
      <c r="Q219" s="281"/>
      <c r="R219" s="271"/>
      <c r="S219" s="312"/>
      <c r="T219" s="282"/>
      <c r="U219" s="312"/>
      <c r="V219" s="276"/>
    </row>
    <row r="220" spans="1:22" s="172" customFormat="1" ht="20.25" customHeight="1">
      <c r="A220" s="263" t="str">
        <f t="shared" ref="A220:A283" si="54">IF(B220="Yes",C220,"")</f>
        <v/>
      </c>
      <c r="B220" s="263"/>
      <c r="C220" s="264">
        <f t="shared" si="50"/>
        <v>219</v>
      </c>
      <c r="D220" s="277" t="s">
        <v>1450</v>
      </c>
      <c r="E220" s="293"/>
      <c r="F220" s="267" t="s">
        <v>44</v>
      </c>
      <c r="G220" s="267"/>
      <c r="H220" s="316">
        <v>8</v>
      </c>
      <c r="I220" s="316"/>
      <c r="J220" s="314">
        <v>5757</v>
      </c>
      <c r="K220" s="322" t="s">
        <v>1831</v>
      </c>
      <c r="L220" s="367" t="str">
        <f>J220&amp;" "&amp;K220</f>
        <v>5757 mm</v>
      </c>
      <c r="M220" s="319">
        <v>2</v>
      </c>
      <c r="N220" s="271" t="s">
        <v>81</v>
      </c>
      <c r="O220" s="297">
        <f>LEFT(L220,SEARCH(" ",L220,1)-1)*M220*0.001</f>
        <v>11.514000000000001</v>
      </c>
      <c r="P220" s="271" t="s">
        <v>249</v>
      </c>
      <c r="Q220" s="324">
        <f>VLOOKUP(H220,BM!$B$3:$Y$62,2,FALSE)</f>
        <v>0.1</v>
      </c>
      <c r="R220" s="271" t="s">
        <v>162</v>
      </c>
      <c r="S220" s="290">
        <f t="shared" si="40"/>
        <v>1.1514000000000002</v>
      </c>
      <c r="T220" s="275"/>
      <c r="U220" s="290">
        <f t="shared" si="41"/>
        <v>1.1499999999999999</v>
      </c>
      <c r="V220" s="276" t="s">
        <v>48</v>
      </c>
    </row>
    <row r="221" spans="1:22" s="172" customFormat="1" ht="20.25" customHeight="1">
      <c r="A221" s="263" t="str">
        <f t="shared" si="54"/>
        <v/>
      </c>
      <c r="B221" s="263"/>
      <c r="C221" s="264">
        <f t="shared" si="50"/>
        <v>220</v>
      </c>
      <c r="D221" s="277" t="s">
        <v>1451</v>
      </c>
      <c r="E221" s="293">
        <f t="shared" si="42"/>
        <v>219</v>
      </c>
      <c r="F221" s="267" t="s">
        <v>52</v>
      </c>
      <c r="G221" s="267"/>
      <c r="H221" s="316">
        <v>40</v>
      </c>
      <c r="I221" s="316"/>
      <c r="J221" s="317">
        <f t="shared" ref="J221" si="55">J220</f>
        <v>5757</v>
      </c>
      <c r="K221" s="317" t="str">
        <f t="shared" ref="K221:K225" si="56">K220</f>
        <v>mm</v>
      </c>
      <c r="L221" s="367" t="str">
        <f t="shared" ref="L221:L225" si="57">J221&amp;" "&amp;K221</f>
        <v>5757 mm</v>
      </c>
      <c r="M221" s="319">
        <v>2</v>
      </c>
      <c r="N221" s="271" t="s">
        <v>81</v>
      </c>
      <c r="O221" s="297">
        <f>LEFT(L221,SEARCH(" ",L221,1)-1)*M221*0.001</f>
        <v>11.514000000000001</v>
      </c>
      <c r="P221" s="271" t="s">
        <v>249</v>
      </c>
      <c r="Q221" s="324">
        <f>VLOOKUP(H221,BM!$B$3:$Y$62,3,FALSE)</f>
        <v>0.25</v>
      </c>
      <c r="R221" s="271" t="s">
        <v>162</v>
      </c>
      <c r="S221" s="290">
        <f t="shared" si="40"/>
        <v>2.8785000000000003</v>
      </c>
      <c r="T221" s="275"/>
      <c r="U221" s="290">
        <f t="shared" si="41"/>
        <v>2.88</v>
      </c>
      <c r="V221" s="276" t="s">
        <v>48</v>
      </c>
    </row>
    <row r="222" spans="1:22" s="172" customFormat="1" ht="20.25" customHeight="1">
      <c r="A222" s="263" t="str">
        <f t="shared" si="54"/>
        <v/>
      </c>
      <c r="B222" s="263"/>
      <c r="C222" s="264">
        <f t="shared" si="50"/>
        <v>221</v>
      </c>
      <c r="D222" s="277" t="s">
        <v>1452</v>
      </c>
      <c r="E222" s="293">
        <f t="shared" si="42"/>
        <v>220</v>
      </c>
      <c r="F222" s="267" t="s">
        <v>201</v>
      </c>
      <c r="G222" s="267"/>
      <c r="H222" s="316">
        <v>40</v>
      </c>
      <c r="I222" s="316"/>
      <c r="J222" s="317">
        <f t="shared" ref="J222" si="58">J221</f>
        <v>5757</v>
      </c>
      <c r="K222" s="317" t="str">
        <f t="shared" si="56"/>
        <v>mm</v>
      </c>
      <c r="L222" s="367" t="str">
        <f t="shared" si="57"/>
        <v>5757 mm</v>
      </c>
      <c r="M222" s="319">
        <v>2</v>
      </c>
      <c r="N222" s="271" t="s">
        <v>81</v>
      </c>
      <c r="O222" s="327">
        <f>M222</f>
        <v>2</v>
      </c>
      <c r="P222" s="271" t="s">
        <v>81</v>
      </c>
      <c r="Q222" s="273">
        <v>2</v>
      </c>
      <c r="R222" s="271" t="s">
        <v>162</v>
      </c>
      <c r="S222" s="290">
        <f t="shared" ref="S222:S283" si="59">O222*Q222</f>
        <v>4</v>
      </c>
      <c r="T222" s="275"/>
      <c r="U222" s="290">
        <f t="shared" ref="U222:U285" si="60">ROUND(S222+T222,2)</f>
        <v>4</v>
      </c>
      <c r="V222" s="276" t="s">
        <v>48</v>
      </c>
    </row>
    <row r="223" spans="1:22" s="172" customFormat="1" ht="20.25" customHeight="1">
      <c r="A223" s="263" t="str">
        <f t="shared" si="54"/>
        <v/>
      </c>
      <c r="B223" s="263"/>
      <c r="C223" s="264">
        <f t="shared" si="50"/>
        <v>222</v>
      </c>
      <c r="D223" s="277" t="s">
        <v>1453</v>
      </c>
      <c r="E223" s="293">
        <f t="shared" ref="E223:E283" si="61">C222</f>
        <v>221</v>
      </c>
      <c r="F223" s="267" t="s">
        <v>61</v>
      </c>
      <c r="G223" s="267"/>
      <c r="H223" s="316">
        <v>40</v>
      </c>
      <c r="I223" s="316"/>
      <c r="J223" s="317">
        <f t="shared" ref="J223" si="62">J222</f>
        <v>5757</v>
      </c>
      <c r="K223" s="317" t="str">
        <f t="shared" si="56"/>
        <v>mm</v>
      </c>
      <c r="L223" s="367" t="str">
        <f t="shared" si="57"/>
        <v>5757 mm</v>
      </c>
      <c r="M223" s="319">
        <v>2</v>
      </c>
      <c r="N223" s="271" t="s">
        <v>81</v>
      </c>
      <c r="O223" s="272">
        <v>4</v>
      </c>
      <c r="P223" s="271" t="s">
        <v>81</v>
      </c>
      <c r="Q223" s="273">
        <v>4</v>
      </c>
      <c r="R223" s="271" t="s">
        <v>162</v>
      </c>
      <c r="S223" s="290">
        <f t="shared" si="59"/>
        <v>16</v>
      </c>
      <c r="T223" s="275"/>
      <c r="U223" s="290">
        <f t="shared" si="60"/>
        <v>16</v>
      </c>
      <c r="V223" s="276" t="s">
        <v>48</v>
      </c>
    </row>
    <row r="224" spans="1:22" s="172" customFormat="1" ht="20.25" customHeight="1">
      <c r="A224" s="263" t="str">
        <f t="shared" si="54"/>
        <v/>
      </c>
      <c r="B224" s="263"/>
      <c r="C224" s="264">
        <f t="shared" si="50"/>
        <v>223</v>
      </c>
      <c r="D224" s="277" t="s">
        <v>1454</v>
      </c>
      <c r="E224" s="293">
        <f t="shared" si="61"/>
        <v>222</v>
      </c>
      <c r="F224" s="267" t="s">
        <v>240</v>
      </c>
      <c r="G224" s="267"/>
      <c r="H224" s="316">
        <v>40</v>
      </c>
      <c r="I224" s="316"/>
      <c r="J224" s="317">
        <f t="shared" ref="J224" si="63">J223</f>
        <v>5757</v>
      </c>
      <c r="K224" s="317" t="str">
        <f t="shared" si="56"/>
        <v>mm</v>
      </c>
      <c r="L224" s="367" t="str">
        <f t="shared" si="57"/>
        <v>5757 mm</v>
      </c>
      <c r="M224" s="319">
        <v>2</v>
      </c>
      <c r="N224" s="271" t="s">
        <v>81</v>
      </c>
      <c r="O224" s="272">
        <v>4</v>
      </c>
      <c r="P224" s="271" t="s">
        <v>81</v>
      </c>
      <c r="Q224" s="273">
        <v>1</v>
      </c>
      <c r="R224" s="271" t="s">
        <v>162</v>
      </c>
      <c r="S224" s="290">
        <f t="shared" si="59"/>
        <v>4</v>
      </c>
      <c r="T224" s="275"/>
      <c r="U224" s="290">
        <f t="shared" si="60"/>
        <v>4</v>
      </c>
      <c r="V224" s="276" t="s">
        <v>48</v>
      </c>
    </row>
    <row r="225" spans="1:22" s="172" customFormat="1" ht="20.25" customHeight="1">
      <c r="A225" s="263" t="str">
        <f t="shared" si="54"/>
        <v/>
      </c>
      <c r="B225" s="263"/>
      <c r="C225" s="264">
        <f t="shared" si="50"/>
        <v>224</v>
      </c>
      <c r="D225" s="277" t="s">
        <v>1455</v>
      </c>
      <c r="E225" s="293">
        <f t="shared" si="61"/>
        <v>223</v>
      </c>
      <c r="F225" s="267" t="s">
        <v>61</v>
      </c>
      <c r="G225" s="267"/>
      <c r="H225" s="316">
        <v>40</v>
      </c>
      <c r="I225" s="316"/>
      <c r="J225" s="317">
        <f t="shared" ref="J225" si="64">J224</f>
        <v>5757</v>
      </c>
      <c r="K225" s="317" t="str">
        <f t="shared" si="56"/>
        <v>mm</v>
      </c>
      <c r="L225" s="367" t="str">
        <f t="shared" si="57"/>
        <v>5757 mm</v>
      </c>
      <c r="M225" s="319">
        <v>2</v>
      </c>
      <c r="N225" s="271" t="s">
        <v>81</v>
      </c>
      <c r="O225" s="272">
        <v>4</v>
      </c>
      <c r="P225" s="271" t="s">
        <v>81</v>
      </c>
      <c r="Q225" s="273">
        <v>1</v>
      </c>
      <c r="R225" s="271" t="s">
        <v>162</v>
      </c>
      <c r="S225" s="290">
        <f t="shared" si="59"/>
        <v>4</v>
      </c>
      <c r="T225" s="275"/>
      <c r="U225" s="290">
        <f t="shared" si="60"/>
        <v>4</v>
      </c>
      <c r="V225" s="276" t="s">
        <v>48</v>
      </c>
    </row>
    <row r="226" spans="1:22" s="172" customFormat="1" ht="20.25" customHeight="1">
      <c r="A226" s="263">
        <f t="shared" si="54"/>
        <v>225</v>
      </c>
      <c r="B226" s="263" t="s">
        <v>1263</v>
      </c>
      <c r="C226" s="264">
        <f t="shared" si="50"/>
        <v>225</v>
      </c>
      <c r="D226" s="265" t="s">
        <v>1456</v>
      </c>
      <c r="E226" s="279">
        <f>C18</f>
        <v>17</v>
      </c>
      <c r="F226" s="267"/>
      <c r="G226" s="267"/>
      <c r="H226" s="268"/>
      <c r="I226" s="268"/>
      <c r="J226" s="269"/>
      <c r="K226" s="269"/>
      <c r="L226" s="269"/>
      <c r="M226" s="319"/>
      <c r="N226" s="271"/>
      <c r="O226" s="280"/>
      <c r="P226" s="271"/>
      <c r="Q226" s="281"/>
      <c r="R226" s="271"/>
      <c r="S226" s="312"/>
      <c r="T226" s="282"/>
      <c r="U226" s="312"/>
      <c r="V226" s="276"/>
    </row>
    <row r="227" spans="1:22" s="172" customFormat="1" ht="20.25" customHeight="1">
      <c r="A227" s="263" t="str">
        <f t="shared" si="54"/>
        <v/>
      </c>
      <c r="B227" s="263"/>
      <c r="C227" s="264">
        <f t="shared" si="50"/>
        <v>226</v>
      </c>
      <c r="D227" s="277" t="s">
        <v>1457</v>
      </c>
      <c r="E227" s="293"/>
      <c r="F227" s="267" t="s">
        <v>44</v>
      </c>
      <c r="G227" s="267"/>
      <c r="H227" s="316">
        <v>16</v>
      </c>
      <c r="I227" s="316"/>
      <c r="J227" s="314">
        <v>5757</v>
      </c>
      <c r="K227" s="322" t="s">
        <v>1831</v>
      </c>
      <c r="L227" s="367" t="str">
        <f>J227&amp;" "&amp;K227</f>
        <v>5757 mm</v>
      </c>
      <c r="M227" s="319">
        <v>2</v>
      </c>
      <c r="N227" s="271" t="s">
        <v>81</v>
      </c>
      <c r="O227" s="297">
        <f>LEFT(L227,SEARCH(" ",L227,1)-1)*M227*0.001</f>
        <v>11.514000000000001</v>
      </c>
      <c r="P227" s="271" t="s">
        <v>249</v>
      </c>
      <c r="Q227" s="324">
        <f>VLOOKUP(H227,BM!$B$3:$Y$62,2,FALSE)</f>
        <v>0.1</v>
      </c>
      <c r="R227" s="271" t="s">
        <v>162</v>
      </c>
      <c r="S227" s="290">
        <f t="shared" si="59"/>
        <v>1.1514000000000002</v>
      </c>
      <c r="T227" s="275"/>
      <c r="U227" s="290">
        <f t="shared" si="60"/>
        <v>1.1499999999999999</v>
      </c>
      <c r="V227" s="276" t="s">
        <v>48</v>
      </c>
    </row>
    <row r="228" spans="1:22" s="172" customFormat="1" ht="20.25" customHeight="1">
      <c r="A228" s="263" t="str">
        <f t="shared" si="54"/>
        <v/>
      </c>
      <c r="B228" s="263"/>
      <c r="C228" s="264">
        <f t="shared" si="50"/>
        <v>227</v>
      </c>
      <c r="D228" s="277" t="s">
        <v>1458</v>
      </c>
      <c r="E228" s="293">
        <f t="shared" si="61"/>
        <v>226</v>
      </c>
      <c r="F228" s="267" t="s">
        <v>52</v>
      </c>
      <c r="G228" s="267"/>
      <c r="H228" s="308">
        <f t="shared" ref="H228:M232" si="65">H227</f>
        <v>16</v>
      </c>
      <c r="I228" s="308"/>
      <c r="J228" s="308">
        <f t="shared" ref="J228:K228" si="66">J227</f>
        <v>5757</v>
      </c>
      <c r="K228" s="308" t="str">
        <f t="shared" si="66"/>
        <v>mm</v>
      </c>
      <c r="L228" s="367" t="str">
        <f t="shared" ref="L228:L232" si="67">J228&amp;" "&amp;K228</f>
        <v>5757 mm</v>
      </c>
      <c r="M228" s="326">
        <f t="shared" si="65"/>
        <v>2</v>
      </c>
      <c r="N228" s="271" t="s">
        <v>81</v>
      </c>
      <c r="O228" s="297">
        <f>LEFT(L228,SEARCH(" ",L228,1)-1)*M228*0.001</f>
        <v>11.514000000000001</v>
      </c>
      <c r="P228" s="271" t="s">
        <v>249</v>
      </c>
      <c r="Q228" s="324">
        <f>VLOOKUP(H228,BM!$B$3:$Y$62,3,FALSE)</f>
        <v>0.25</v>
      </c>
      <c r="R228" s="271" t="s">
        <v>162</v>
      </c>
      <c r="S228" s="290">
        <f t="shared" si="59"/>
        <v>2.8785000000000003</v>
      </c>
      <c r="T228" s="275"/>
      <c r="U228" s="290">
        <f t="shared" si="60"/>
        <v>2.88</v>
      </c>
      <c r="V228" s="276" t="s">
        <v>48</v>
      </c>
    </row>
    <row r="229" spans="1:22" s="172" customFormat="1" ht="20.25" customHeight="1">
      <c r="A229" s="263" t="str">
        <f t="shared" si="54"/>
        <v/>
      </c>
      <c r="B229" s="263"/>
      <c r="C229" s="264">
        <f t="shared" si="50"/>
        <v>228</v>
      </c>
      <c r="D229" s="277" t="s">
        <v>1459</v>
      </c>
      <c r="E229" s="293">
        <f t="shared" si="61"/>
        <v>227</v>
      </c>
      <c r="F229" s="267" t="s">
        <v>201</v>
      </c>
      <c r="G229" s="267"/>
      <c r="H229" s="308">
        <f t="shared" si="65"/>
        <v>16</v>
      </c>
      <c r="I229" s="308"/>
      <c r="J229" s="308">
        <f t="shared" ref="J229:K229" si="68">J228</f>
        <v>5757</v>
      </c>
      <c r="K229" s="308" t="str">
        <f t="shared" si="68"/>
        <v>mm</v>
      </c>
      <c r="L229" s="367" t="str">
        <f t="shared" si="67"/>
        <v>5757 mm</v>
      </c>
      <c r="M229" s="326">
        <f t="shared" si="65"/>
        <v>2</v>
      </c>
      <c r="N229" s="271" t="s">
        <v>81</v>
      </c>
      <c r="O229" s="327">
        <f>M229</f>
        <v>2</v>
      </c>
      <c r="P229" s="271" t="s">
        <v>81</v>
      </c>
      <c r="Q229" s="273">
        <v>2</v>
      </c>
      <c r="R229" s="271" t="s">
        <v>162</v>
      </c>
      <c r="S229" s="290">
        <f t="shared" si="59"/>
        <v>4</v>
      </c>
      <c r="T229" s="275"/>
      <c r="U229" s="290">
        <f t="shared" si="60"/>
        <v>4</v>
      </c>
      <c r="V229" s="276" t="s">
        <v>48</v>
      </c>
    </row>
    <row r="230" spans="1:22" s="172" customFormat="1" ht="20.25" customHeight="1">
      <c r="A230" s="263" t="str">
        <f t="shared" si="54"/>
        <v/>
      </c>
      <c r="B230" s="263"/>
      <c r="C230" s="264">
        <f t="shared" si="50"/>
        <v>229</v>
      </c>
      <c r="D230" s="277" t="s">
        <v>1460</v>
      </c>
      <c r="E230" s="293">
        <f t="shared" si="61"/>
        <v>228</v>
      </c>
      <c r="F230" s="267" t="s">
        <v>61</v>
      </c>
      <c r="G230" s="267"/>
      <c r="H230" s="308">
        <f t="shared" si="65"/>
        <v>16</v>
      </c>
      <c r="I230" s="308"/>
      <c r="J230" s="308">
        <f t="shared" ref="J230:K230" si="69">J229</f>
        <v>5757</v>
      </c>
      <c r="K230" s="308" t="str">
        <f t="shared" si="69"/>
        <v>mm</v>
      </c>
      <c r="L230" s="367" t="str">
        <f t="shared" si="67"/>
        <v>5757 mm</v>
      </c>
      <c r="M230" s="326">
        <f t="shared" si="65"/>
        <v>2</v>
      </c>
      <c r="N230" s="271" t="s">
        <v>81</v>
      </c>
      <c r="O230" s="272">
        <v>4</v>
      </c>
      <c r="P230" s="271" t="s">
        <v>81</v>
      </c>
      <c r="Q230" s="273">
        <v>4</v>
      </c>
      <c r="R230" s="271" t="s">
        <v>162</v>
      </c>
      <c r="S230" s="290">
        <f t="shared" si="59"/>
        <v>16</v>
      </c>
      <c r="T230" s="275"/>
      <c r="U230" s="290">
        <f t="shared" si="60"/>
        <v>16</v>
      </c>
      <c r="V230" s="276" t="s">
        <v>48</v>
      </c>
    </row>
    <row r="231" spans="1:22" s="172" customFormat="1" ht="20.25" customHeight="1">
      <c r="A231" s="263" t="str">
        <f t="shared" si="54"/>
        <v/>
      </c>
      <c r="B231" s="263"/>
      <c r="C231" s="264">
        <f t="shared" si="50"/>
        <v>230</v>
      </c>
      <c r="D231" s="277" t="s">
        <v>1461</v>
      </c>
      <c r="E231" s="293">
        <f t="shared" si="61"/>
        <v>229</v>
      </c>
      <c r="F231" s="267" t="s">
        <v>240</v>
      </c>
      <c r="G231" s="267"/>
      <c r="H231" s="308">
        <f t="shared" si="65"/>
        <v>16</v>
      </c>
      <c r="I231" s="308"/>
      <c r="J231" s="308">
        <f t="shared" ref="J231:K231" si="70">J230</f>
        <v>5757</v>
      </c>
      <c r="K231" s="308" t="str">
        <f t="shared" si="70"/>
        <v>mm</v>
      </c>
      <c r="L231" s="367" t="str">
        <f t="shared" si="67"/>
        <v>5757 mm</v>
      </c>
      <c r="M231" s="326">
        <f t="shared" si="65"/>
        <v>2</v>
      </c>
      <c r="N231" s="271" t="s">
        <v>81</v>
      </c>
      <c r="O231" s="272">
        <v>4</v>
      </c>
      <c r="P231" s="271" t="s">
        <v>81</v>
      </c>
      <c r="Q231" s="273">
        <v>1</v>
      </c>
      <c r="R231" s="271" t="s">
        <v>162</v>
      </c>
      <c r="S231" s="290">
        <f t="shared" si="59"/>
        <v>4</v>
      </c>
      <c r="T231" s="275"/>
      <c r="U231" s="290">
        <f t="shared" si="60"/>
        <v>4</v>
      </c>
      <c r="V231" s="276" t="s">
        <v>48</v>
      </c>
    </row>
    <row r="232" spans="1:22" s="172" customFormat="1" ht="20.25" customHeight="1">
      <c r="A232" s="263" t="str">
        <f t="shared" si="54"/>
        <v/>
      </c>
      <c r="B232" s="263"/>
      <c r="C232" s="264">
        <f t="shared" si="50"/>
        <v>231</v>
      </c>
      <c r="D232" s="277" t="s">
        <v>1462</v>
      </c>
      <c r="E232" s="293">
        <f t="shared" si="61"/>
        <v>230</v>
      </c>
      <c r="F232" s="267" t="s">
        <v>61</v>
      </c>
      <c r="G232" s="267"/>
      <c r="H232" s="308">
        <f t="shared" si="65"/>
        <v>16</v>
      </c>
      <c r="I232" s="308"/>
      <c r="J232" s="308">
        <f t="shared" ref="J232:K232" si="71">J231</f>
        <v>5757</v>
      </c>
      <c r="K232" s="308" t="str">
        <f t="shared" si="71"/>
        <v>mm</v>
      </c>
      <c r="L232" s="367" t="str">
        <f t="shared" si="67"/>
        <v>5757 mm</v>
      </c>
      <c r="M232" s="326">
        <f t="shared" si="65"/>
        <v>2</v>
      </c>
      <c r="N232" s="271" t="s">
        <v>81</v>
      </c>
      <c r="O232" s="272">
        <v>4</v>
      </c>
      <c r="P232" s="271" t="s">
        <v>81</v>
      </c>
      <c r="Q232" s="273">
        <v>1</v>
      </c>
      <c r="R232" s="271" t="s">
        <v>162</v>
      </c>
      <c r="S232" s="290">
        <f t="shared" si="59"/>
        <v>4</v>
      </c>
      <c r="T232" s="275"/>
      <c r="U232" s="290">
        <f t="shared" si="60"/>
        <v>4</v>
      </c>
      <c r="V232" s="276" t="s">
        <v>48</v>
      </c>
    </row>
    <row r="233" spans="1:22" s="172" customFormat="1" ht="20.25" customHeight="1">
      <c r="A233" s="263">
        <f t="shared" si="54"/>
        <v>232</v>
      </c>
      <c r="B233" s="263" t="s">
        <v>1263</v>
      </c>
      <c r="C233" s="264">
        <f t="shared" si="50"/>
        <v>232</v>
      </c>
      <c r="D233" s="265" t="s">
        <v>1463</v>
      </c>
      <c r="E233" s="279">
        <f>C19</f>
        <v>18</v>
      </c>
      <c r="F233" s="267"/>
      <c r="G233" s="267"/>
      <c r="H233" s="268"/>
      <c r="I233" s="268"/>
      <c r="J233" s="269"/>
      <c r="K233" s="269"/>
      <c r="L233" s="269"/>
      <c r="M233" s="319"/>
      <c r="N233" s="271"/>
      <c r="O233" s="280"/>
      <c r="P233" s="271"/>
      <c r="Q233" s="281"/>
      <c r="R233" s="271"/>
      <c r="S233" s="312"/>
      <c r="T233" s="282"/>
      <c r="U233" s="312"/>
      <c r="V233" s="276"/>
    </row>
    <row r="234" spans="1:22" s="172" customFormat="1" ht="20.25" customHeight="1">
      <c r="A234" s="263" t="str">
        <f t="shared" si="54"/>
        <v/>
      </c>
      <c r="B234" s="263"/>
      <c r="C234" s="264">
        <f t="shared" si="50"/>
        <v>233</v>
      </c>
      <c r="D234" s="277" t="s">
        <v>1464</v>
      </c>
      <c r="E234" s="293"/>
      <c r="F234" s="267" t="s">
        <v>37</v>
      </c>
      <c r="G234" s="267"/>
      <c r="H234" s="268"/>
      <c r="I234" s="268"/>
      <c r="J234" s="269"/>
      <c r="K234" s="269"/>
      <c r="L234" s="269"/>
      <c r="M234" s="319"/>
      <c r="N234" s="271" t="s">
        <v>84</v>
      </c>
      <c r="O234" s="272">
        <v>1</v>
      </c>
      <c r="P234" s="271"/>
      <c r="Q234" s="273">
        <v>4</v>
      </c>
      <c r="R234" s="271" t="s">
        <v>41</v>
      </c>
      <c r="S234" s="290">
        <f t="shared" si="59"/>
        <v>4</v>
      </c>
      <c r="T234" s="275"/>
      <c r="U234" s="290">
        <f t="shared" si="60"/>
        <v>4</v>
      </c>
      <c r="V234" s="276" t="s">
        <v>42</v>
      </c>
    </row>
    <row r="235" spans="1:22" s="172" customFormat="1" ht="20.25" customHeight="1">
      <c r="A235" s="263" t="str">
        <f t="shared" si="54"/>
        <v/>
      </c>
      <c r="B235" s="263"/>
      <c r="C235" s="264">
        <f t="shared" si="50"/>
        <v>234</v>
      </c>
      <c r="D235" s="277" t="s">
        <v>1465</v>
      </c>
      <c r="E235" s="293">
        <f t="shared" si="61"/>
        <v>233</v>
      </c>
      <c r="F235" s="267" t="s">
        <v>44</v>
      </c>
      <c r="G235" s="267"/>
      <c r="H235" s="316">
        <v>25.4</v>
      </c>
      <c r="I235" s="322" t="s">
        <v>1847</v>
      </c>
      <c r="J235" s="315">
        <v>14</v>
      </c>
      <c r="K235" s="315"/>
      <c r="L235" s="367" t="str">
        <f>J235&amp;" "&amp;K235</f>
        <v xml:space="preserve">14 </v>
      </c>
      <c r="M235" s="319"/>
      <c r="N235" s="271" t="s">
        <v>81</v>
      </c>
      <c r="O235" s="327">
        <f>M235</f>
        <v>0</v>
      </c>
      <c r="P235" s="271" t="s">
        <v>81</v>
      </c>
      <c r="Q235" s="273">
        <v>0.25</v>
      </c>
      <c r="R235" s="271" t="s">
        <v>162</v>
      </c>
      <c r="S235" s="290">
        <f t="shared" si="59"/>
        <v>0</v>
      </c>
      <c r="T235" s="275"/>
      <c r="U235" s="290">
        <f t="shared" si="60"/>
        <v>0</v>
      </c>
      <c r="V235" s="276" t="s">
        <v>48</v>
      </c>
    </row>
    <row r="236" spans="1:22" s="172" customFormat="1" ht="20.25" customHeight="1">
      <c r="A236" s="263" t="str">
        <f t="shared" si="54"/>
        <v/>
      </c>
      <c r="B236" s="263"/>
      <c r="C236" s="264">
        <f t="shared" si="50"/>
        <v>235</v>
      </c>
      <c r="D236" s="277" t="s">
        <v>1466</v>
      </c>
      <c r="E236" s="293">
        <f t="shared" si="61"/>
        <v>234</v>
      </c>
      <c r="F236" s="267" t="s">
        <v>44</v>
      </c>
      <c r="G236" s="267"/>
      <c r="H236" s="308">
        <f t="shared" ref="H236:M237" si="72">H235</f>
        <v>25.4</v>
      </c>
      <c r="I236" s="308" t="str">
        <f t="shared" si="72"/>
        <v>dia</v>
      </c>
      <c r="J236" s="308">
        <f>J235</f>
        <v>14</v>
      </c>
      <c r="K236" s="308"/>
      <c r="L236" s="367" t="str">
        <f t="shared" ref="L236:L237" si="73">J236&amp;" "&amp;K236</f>
        <v xml:space="preserve">14 </v>
      </c>
      <c r="M236" s="326">
        <f t="shared" si="72"/>
        <v>0</v>
      </c>
      <c r="N236" s="271" t="s">
        <v>81</v>
      </c>
      <c r="O236" s="327">
        <f>M236</f>
        <v>0</v>
      </c>
      <c r="P236" s="271" t="s">
        <v>81</v>
      </c>
      <c r="Q236" s="273">
        <v>0.5</v>
      </c>
      <c r="R236" s="271" t="s">
        <v>162</v>
      </c>
      <c r="S236" s="290">
        <f t="shared" si="59"/>
        <v>0</v>
      </c>
      <c r="T236" s="275"/>
      <c r="U236" s="290">
        <f t="shared" si="60"/>
        <v>0</v>
      </c>
      <c r="V236" s="276" t="s">
        <v>48</v>
      </c>
    </row>
    <row r="237" spans="1:22" s="172" customFormat="1" ht="20.25" customHeight="1">
      <c r="A237" s="263" t="str">
        <f t="shared" si="54"/>
        <v/>
      </c>
      <c r="B237" s="263"/>
      <c r="C237" s="264">
        <f t="shared" si="50"/>
        <v>236</v>
      </c>
      <c r="D237" s="277" t="s">
        <v>1467</v>
      </c>
      <c r="E237" s="293">
        <f t="shared" si="61"/>
        <v>235</v>
      </c>
      <c r="F237" s="267" t="s">
        <v>201</v>
      </c>
      <c r="G237" s="267"/>
      <c r="H237" s="308">
        <f t="shared" si="72"/>
        <v>25.4</v>
      </c>
      <c r="I237" s="308" t="str">
        <f t="shared" si="72"/>
        <v>dia</v>
      </c>
      <c r="J237" s="308">
        <f>J236</f>
        <v>14</v>
      </c>
      <c r="K237" s="308"/>
      <c r="L237" s="367" t="str">
        <f t="shared" si="73"/>
        <v xml:space="preserve">14 </v>
      </c>
      <c r="M237" s="326">
        <f t="shared" si="72"/>
        <v>0</v>
      </c>
      <c r="N237" s="271" t="s">
        <v>81</v>
      </c>
      <c r="O237" s="327">
        <f>M237</f>
        <v>0</v>
      </c>
      <c r="P237" s="271" t="s">
        <v>81</v>
      </c>
      <c r="Q237" s="273">
        <v>1</v>
      </c>
      <c r="R237" s="271" t="s">
        <v>162</v>
      </c>
      <c r="S237" s="290">
        <f t="shared" si="59"/>
        <v>0</v>
      </c>
      <c r="T237" s="275"/>
      <c r="U237" s="290">
        <f t="shared" si="60"/>
        <v>0</v>
      </c>
      <c r="V237" s="276" t="s">
        <v>48</v>
      </c>
    </row>
    <row r="238" spans="1:22" s="172" customFormat="1" ht="20.25" customHeight="1">
      <c r="A238" s="263">
        <f t="shared" si="54"/>
        <v>237</v>
      </c>
      <c r="B238" s="263" t="s">
        <v>1263</v>
      </c>
      <c r="C238" s="264">
        <f t="shared" si="50"/>
        <v>237</v>
      </c>
      <c r="D238" s="329" t="s">
        <v>1468</v>
      </c>
      <c r="E238" s="293">
        <f t="shared" si="61"/>
        <v>236</v>
      </c>
      <c r="F238" s="267"/>
      <c r="G238" s="267"/>
      <c r="H238" s="268"/>
      <c r="I238" s="268"/>
      <c r="J238" s="269"/>
      <c r="K238" s="269"/>
      <c r="L238" s="269"/>
      <c r="M238" s="319"/>
      <c r="N238" s="271"/>
      <c r="O238" s="280"/>
      <c r="P238" s="271"/>
      <c r="Q238" s="281"/>
      <c r="R238" s="271"/>
      <c r="S238" s="312"/>
      <c r="T238" s="282"/>
      <c r="U238" s="312"/>
      <c r="V238" s="276"/>
    </row>
    <row r="239" spans="1:22" s="172" customFormat="1" ht="20.25" customHeight="1">
      <c r="A239" s="263">
        <f t="shared" si="54"/>
        <v>238</v>
      </c>
      <c r="B239" s="263" t="s">
        <v>1263</v>
      </c>
      <c r="C239" s="264">
        <f t="shared" si="50"/>
        <v>238</v>
      </c>
      <c r="D239" s="265" t="s">
        <v>1469</v>
      </c>
      <c r="E239" s="279">
        <f>C4</f>
        <v>3</v>
      </c>
      <c r="F239" s="267"/>
      <c r="G239" s="267"/>
      <c r="H239" s="268"/>
      <c r="I239" s="268"/>
      <c r="J239" s="269"/>
      <c r="K239" s="269"/>
      <c r="L239" s="269"/>
      <c r="M239" s="319"/>
      <c r="N239" s="271"/>
      <c r="O239" s="280"/>
      <c r="P239" s="271"/>
      <c r="Q239" s="281"/>
      <c r="R239" s="271"/>
      <c r="S239" s="312"/>
      <c r="T239" s="282"/>
      <c r="U239" s="312"/>
      <c r="V239" s="276"/>
    </row>
    <row r="240" spans="1:22" s="172" customFormat="1" ht="20.25" customHeight="1">
      <c r="A240" s="263" t="str">
        <f t="shared" si="54"/>
        <v/>
      </c>
      <c r="B240" s="263"/>
      <c r="C240" s="264">
        <f t="shared" si="50"/>
        <v>239</v>
      </c>
      <c r="D240" s="277" t="s">
        <v>1470</v>
      </c>
      <c r="E240" s="293"/>
      <c r="F240" s="267" t="s">
        <v>37</v>
      </c>
      <c r="G240" s="267"/>
      <c r="H240" s="268"/>
      <c r="I240" s="268"/>
      <c r="J240" s="269"/>
      <c r="K240" s="269"/>
      <c r="L240" s="269"/>
      <c r="M240" s="319">
        <v>1</v>
      </c>
      <c r="N240" s="271" t="s">
        <v>84</v>
      </c>
      <c r="O240" s="272">
        <v>1</v>
      </c>
      <c r="P240" s="271"/>
      <c r="Q240" s="273">
        <v>4</v>
      </c>
      <c r="R240" s="271" t="s">
        <v>41</v>
      </c>
      <c r="S240" s="290">
        <f t="shared" si="59"/>
        <v>4</v>
      </c>
      <c r="T240" s="275"/>
      <c r="U240" s="290">
        <f t="shared" si="60"/>
        <v>4</v>
      </c>
      <c r="V240" s="276" t="s">
        <v>42</v>
      </c>
    </row>
    <row r="241" spans="1:22" s="172" customFormat="1" ht="20.25" customHeight="1">
      <c r="A241" s="263" t="str">
        <f t="shared" si="54"/>
        <v/>
      </c>
      <c r="B241" s="263"/>
      <c r="C241" s="264">
        <f t="shared" si="50"/>
        <v>240</v>
      </c>
      <c r="D241" s="277" t="s">
        <v>1471</v>
      </c>
      <c r="E241" s="293">
        <f t="shared" si="61"/>
        <v>239</v>
      </c>
      <c r="F241" s="267" t="s">
        <v>201</v>
      </c>
      <c r="G241" s="267"/>
      <c r="H241" s="316">
        <v>12</v>
      </c>
      <c r="I241" s="316"/>
      <c r="J241" s="310">
        <v>5553</v>
      </c>
      <c r="K241" s="294" t="s">
        <v>1831</v>
      </c>
      <c r="L241" s="367" t="str">
        <f>J241&amp;" "&amp;K241</f>
        <v>5553 mm</v>
      </c>
      <c r="M241" s="319">
        <v>1</v>
      </c>
      <c r="N241" s="271" t="s">
        <v>81</v>
      </c>
      <c r="O241" s="297">
        <f>LEFT(L241,SEARCH(" ",L241,1)-1)*M241*0.001</f>
        <v>5.5529999999999999</v>
      </c>
      <c r="P241" s="271" t="s">
        <v>139</v>
      </c>
      <c r="Q241" s="324">
        <f>VLOOKUP(H241,BM!$B$3:$Y$62,2,FALSE)</f>
        <v>0.1</v>
      </c>
      <c r="R241" s="271" t="s">
        <v>112</v>
      </c>
      <c r="S241" s="290">
        <f t="shared" si="59"/>
        <v>0.55530000000000002</v>
      </c>
      <c r="T241" s="275">
        <v>1</v>
      </c>
      <c r="U241" s="290">
        <f t="shared" si="60"/>
        <v>1.56</v>
      </c>
      <c r="V241" s="276" t="s">
        <v>48</v>
      </c>
    </row>
    <row r="242" spans="1:22" s="172" customFormat="1" ht="20.25" customHeight="1">
      <c r="A242" s="263">
        <f t="shared" si="54"/>
        <v>241</v>
      </c>
      <c r="B242" s="263" t="s">
        <v>1263</v>
      </c>
      <c r="C242" s="264">
        <f t="shared" si="50"/>
        <v>241</v>
      </c>
      <c r="D242" s="265" t="s">
        <v>1472</v>
      </c>
      <c r="E242" s="279">
        <f>C239</f>
        <v>238</v>
      </c>
      <c r="F242" s="267"/>
      <c r="G242" s="267"/>
      <c r="H242" s="268"/>
      <c r="I242" s="268"/>
      <c r="J242" s="269"/>
      <c r="K242" s="269"/>
      <c r="L242" s="269"/>
      <c r="M242" s="319"/>
      <c r="N242" s="271"/>
      <c r="O242" s="280"/>
      <c r="P242" s="271"/>
      <c r="Q242" s="281"/>
      <c r="R242" s="271"/>
      <c r="S242" s="312"/>
      <c r="T242" s="282"/>
      <c r="U242" s="312"/>
      <c r="V242" s="276"/>
    </row>
    <row r="243" spans="1:22" s="172" customFormat="1" ht="20.25" customHeight="1">
      <c r="A243" s="263" t="str">
        <f t="shared" si="54"/>
        <v/>
      </c>
      <c r="B243" s="263"/>
      <c r="C243" s="264">
        <f t="shared" si="50"/>
        <v>242</v>
      </c>
      <c r="D243" s="277" t="s">
        <v>1473</v>
      </c>
      <c r="E243" s="293"/>
      <c r="F243" s="267" t="s">
        <v>276</v>
      </c>
      <c r="G243" s="267"/>
      <c r="H243" s="316">
        <v>12</v>
      </c>
      <c r="I243" s="316"/>
      <c r="J243" s="310">
        <v>5553</v>
      </c>
      <c r="K243" s="294" t="s">
        <v>1831</v>
      </c>
      <c r="L243" s="367" t="str">
        <f>J243&amp;" "&amp;K243</f>
        <v>5553 mm</v>
      </c>
      <c r="M243" s="319">
        <v>3</v>
      </c>
      <c r="N243" s="271" t="s">
        <v>81</v>
      </c>
      <c r="O243" s="297">
        <f>LEFT(L243,SEARCH(" ",L243,1)-1)*M243*0.001</f>
        <v>16.658999999999999</v>
      </c>
      <c r="P243" s="271" t="s">
        <v>139</v>
      </c>
      <c r="Q243" s="324">
        <f>VLOOKUP(H243,BM!$B$3:$Y$62,3,FALSE)</f>
        <v>0.25</v>
      </c>
      <c r="R243" s="271" t="s">
        <v>112</v>
      </c>
      <c r="S243" s="290">
        <f t="shared" si="59"/>
        <v>4.1647499999999997</v>
      </c>
      <c r="T243" s="275">
        <v>1</v>
      </c>
      <c r="U243" s="290">
        <f t="shared" si="60"/>
        <v>5.16</v>
      </c>
      <c r="V243" s="276" t="s">
        <v>48</v>
      </c>
    </row>
    <row r="244" spans="1:22" s="172" customFormat="1" ht="20.25" customHeight="1">
      <c r="A244" s="263">
        <f t="shared" si="54"/>
        <v>243</v>
      </c>
      <c r="B244" s="263" t="s">
        <v>1263</v>
      </c>
      <c r="C244" s="264">
        <f t="shared" si="50"/>
        <v>243</v>
      </c>
      <c r="D244" s="265" t="s">
        <v>1474</v>
      </c>
      <c r="E244" s="279">
        <f>C242</f>
        <v>241</v>
      </c>
      <c r="F244" s="267"/>
      <c r="G244" s="267"/>
      <c r="H244" s="268"/>
      <c r="I244" s="268"/>
      <c r="J244" s="269"/>
      <c r="K244" s="269"/>
      <c r="L244" s="269"/>
      <c r="M244" s="319"/>
      <c r="N244" s="271"/>
      <c r="O244" s="280"/>
      <c r="P244" s="271"/>
      <c r="Q244" s="281"/>
      <c r="R244" s="271"/>
      <c r="S244" s="312"/>
      <c r="T244" s="282"/>
      <c r="U244" s="312"/>
      <c r="V244" s="276"/>
    </row>
    <row r="245" spans="1:22" s="172" customFormat="1" ht="20.25" customHeight="1">
      <c r="A245" s="263" t="str">
        <f t="shared" si="54"/>
        <v/>
      </c>
      <c r="B245" s="263"/>
      <c r="C245" s="264">
        <f t="shared" si="50"/>
        <v>244</v>
      </c>
      <c r="D245" s="277" t="s">
        <v>1475</v>
      </c>
      <c r="E245" s="293"/>
      <c r="F245" s="267" t="s">
        <v>224</v>
      </c>
      <c r="G245" s="267"/>
      <c r="H245" s="316">
        <v>12</v>
      </c>
      <c r="I245" s="316"/>
      <c r="J245" s="316">
        <v>2500</v>
      </c>
      <c r="K245" s="322" t="s">
        <v>1831</v>
      </c>
      <c r="L245" s="367" t="str">
        <f>J245&amp;" "&amp;K245</f>
        <v>2500 mm</v>
      </c>
      <c r="M245" s="319">
        <v>1</v>
      </c>
      <c r="N245" s="271" t="s">
        <v>81</v>
      </c>
      <c r="O245" s="297">
        <f>LEFT(L245,SEARCH(" ",L245,1)-1)*M245*0.001</f>
        <v>2.5</v>
      </c>
      <c r="P245" s="271" t="s">
        <v>139</v>
      </c>
      <c r="Q245" s="324">
        <f>VLOOKUP(H245,BM!$B$3:$Y$62,5,FALSE)</f>
        <v>0.5</v>
      </c>
      <c r="R245" s="271" t="s">
        <v>112</v>
      </c>
      <c r="S245" s="290">
        <f t="shared" si="59"/>
        <v>1.25</v>
      </c>
      <c r="T245" s="275">
        <v>1</v>
      </c>
      <c r="U245" s="290">
        <f t="shared" si="60"/>
        <v>2.25</v>
      </c>
      <c r="V245" s="276" t="s">
        <v>48</v>
      </c>
    </row>
    <row r="246" spans="1:22" s="172" customFormat="1" ht="20.25" customHeight="1">
      <c r="A246" s="263" t="str">
        <f t="shared" si="54"/>
        <v/>
      </c>
      <c r="B246" s="263"/>
      <c r="C246" s="264">
        <f t="shared" si="50"/>
        <v>245</v>
      </c>
      <c r="D246" s="277" t="s">
        <v>1475</v>
      </c>
      <c r="E246" s="293">
        <f t="shared" si="61"/>
        <v>244</v>
      </c>
      <c r="F246" s="267" t="s">
        <v>224</v>
      </c>
      <c r="G246" s="267"/>
      <c r="H246" s="315">
        <v>12</v>
      </c>
      <c r="I246" s="315"/>
      <c r="J246" s="310">
        <v>2000</v>
      </c>
      <c r="K246" s="294" t="s">
        <v>1831</v>
      </c>
      <c r="L246" s="367" t="str">
        <f t="shared" ref="L246:L257" si="74">J246&amp;" "&amp;K246</f>
        <v>2000 mm</v>
      </c>
      <c r="M246" s="319">
        <v>1</v>
      </c>
      <c r="N246" s="271" t="s">
        <v>81</v>
      </c>
      <c r="O246" s="297">
        <f>LEFT(L246,SEARCH(" ",L246,1)-1)*M246*0.001</f>
        <v>2</v>
      </c>
      <c r="P246" s="271" t="s">
        <v>139</v>
      </c>
      <c r="Q246" s="324">
        <f>VLOOKUP(H246,BM!$B$3:$Y$62,5,FALSE)</f>
        <v>0.5</v>
      </c>
      <c r="R246" s="271" t="s">
        <v>112</v>
      </c>
      <c r="S246" s="290">
        <f t="shared" si="59"/>
        <v>1</v>
      </c>
      <c r="T246" s="275">
        <v>1</v>
      </c>
      <c r="U246" s="290">
        <f t="shared" si="60"/>
        <v>2</v>
      </c>
      <c r="V246" s="276" t="s">
        <v>48</v>
      </c>
    </row>
    <row r="247" spans="1:22" s="172" customFormat="1" ht="20.25" customHeight="1">
      <c r="A247" s="263" t="str">
        <f t="shared" si="54"/>
        <v/>
      </c>
      <c r="B247" s="263"/>
      <c r="C247" s="264">
        <f t="shared" si="50"/>
        <v>246</v>
      </c>
      <c r="D247" s="277" t="s">
        <v>1475</v>
      </c>
      <c r="E247" s="293">
        <f t="shared" si="61"/>
        <v>245</v>
      </c>
      <c r="F247" s="267" t="s">
        <v>224</v>
      </c>
      <c r="G247" s="267"/>
      <c r="H247" s="315">
        <v>12</v>
      </c>
      <c r="I247" s="315"/>
      <c r="J247" s="314">
        <v>1000</v>
      </c>
      <c r="K247" s="322" t="s">
        <v>1831</v>
      </c>
      <c r="L247" s="367" t="str">
        <f t="shared" si="74"/>
        <v>1000 mm</v>
      </c>
      <c r="M247" s="319">
        <v>1</v>
      </c>
      <c r="N247" s="271" t="s">
        <v>81</v>
      </c>
      <c r="O247" s="297">
        <f t="shared" ref="O247:O248" si="75">LEFT(L247,SEARCH(" ",L247,1)-1)*M247*0.001</f>
        <v>1</v>
      </c>
      <c r="P247" s="271" t="s">
        <v>139</v>
      </c>
      <c r="Q247" s="324">
        <f>VLOOKUP(H247,BM!$B$3:$Y$62,5,FALSE)</f>
        <v>0.5</v>
      </c>
      <c r="R247" s="271" t="s">
        <v>112</v>
      </c>
      <c r="S247" s="290">
        <f t="shared" si="59"/>
        <v>0.5</v>
      </c>
      <c r="T247" s="275">
        <v>1</v>
      </c>
      <c r="U247" s="290">
        <f t="shared" si="60"/>
        <v>1.5</v>
      </c>
      <c r="V247" s="276" t="s">
        <v>48</v>
      </c>
    </row>
    <row r="248" spans="1:22" s="172" customFormat="1" ht="20.25" customHeight="1">
      <c r="A248" s="263" t="str">
        <f t="shared" si="54"/>
        <v/>
      </c>
      <c r="B248" s="263"/>
      <c r="C248" s="264">
        <f t="shared" si="50"/>
        <v>247</v>
      </c>
      <c r="D248" s="277" t="s">
        <v>1475</v>
      </c>
      <c r="E248" s="293">
        <f t="shared" si="61"/>
        <v>246</v>
      </c>
      <c r="F248" s="267" t="s">
        <v>224</v>
      </c>
      <c r="G248" s="267"/>
      <c r="H248" s="330"/>
      <c r="I248" s="330"/>
      <c r="J248" s="322"/>
      <c r="K248" s="322" t="s">
        <v>1831</v>
      </c>
      <c r="L248" s="367" t="str">
        <f t="shared" si="74"/>
        <v xml:space="preserve"> mm</v>
      </c>
      <c r="M248" s="319">
        <v>1</v>
      </c>
      <c r="N248" s="271" t="s">
        <v>81</v>
      </c>
      <c r="O248" s="297" t="e">
        <f t="shared" si="75"/>
        <v>#VALUE!</v>
      </c>
      <c r="P248" s="271" t="s">
        <v>139</v>
      </c>
      <c r="Q248" s="324" t="e">
        <f>VLOOKUP(H248,BM!$B$3:$Y$62,5,FALSE)</f>
        <v>#N/A</v>
      </c>
      <c r="R248" s="271" t="s">
        <v>112</v>
      </c>
      <c r="S248" s="290" t="e">
        <f t="shared" si="59"/>
        <v>#VALUE!</v>
      </c>
      <c r="T248" s="275"/>
      <c r="U248" s="307"/>
      <c r="V248" s="276" t="s">
        <v>48</v>
      </c>
    </row>
    <row r="249" spans="1:22" s="172" customFormat="1" ht="20.25" customHeight="1">
      <c r="A249" s="263">
        <f t="shared" si="54"/>
        <v>248</v>
      </c>
      <c r="B249" s="263" t="s">
        <v>1263</v>
      </c>
      <c r="C249" s="264">
        <f t="shared" si="50"/>
        <v>248</v>
      </c>
      <c r="D249" s="265" t="s">
        <v>1476</v>
      </c>
      <c r="E249" s="279">
        <f>C244</f>
        <v>243</v>
      </c>
      <c r="F249" s="267"/>
      <c r="G249" s="267"/>
      <c r="H249" s="268"/>
      <c r="I249" s="268"/>
      <c r="J249" s="269"/>
      <c r="K249" s="269"/>
      <c r="L249" s="269"/>
      <c r="M249" s="319"/>
      <c r="N249" s="271"/>
      <c r="O249" s="280"/>
      <c r="P249" s="271"/>
      <c r="Q249" s="281"/>
      <c r="R249" s="271"/>
      <c r="S249" s="312"/>
      <c r="T249" s="282"/>
      <c r="U249" s="312"/>
      <c r="V249" s="276"/>
    </row>
    <row r="250" spans="1:22" s="172" customFormat="1" ht="20.25" customHeight="1">
      <c r="A250" s="263" t="str">
        <f t="shared" si="54"/>
        <v/>
      </c>
      <c r="B250" s="263"/>
      <c r="C250" s="264">
        <f t="shared" si="50"/>
        <v>249</v>
      </c>
      <c r="D250" s="277" t="s">
        <v>1477</v>
      </c>
      <c r="E250" s="293"/>
      <c r="F250" s="267" t="s">
        <v>121</v>
      </c>
      <c r="G250" s="267"/>
      <c r="H250" s="308">
        <f>H248</f>
        <v>0</v>
      </c>
      <c r="I250" s="308"/>
      <c r="J250" s="308">
        <f t="shared" ref="J250:K250" si="76">J245</f>
        <v>2500</v>
      </c>
      <c r="K250" s="308" t="str">
        <f t="shared" si="76"/>
        <v>mm</v>
      </c>
      <c r="L250" s="367" t="str">
        <f t="shared" si="74"/>
        <v>2500 mm</v>
      </c>
      <c r="M250" s="326">
        <f t="shared" ref="M250:M253" si="77">M245</f>
        <v>1</v>
      </c>
      <c r="N250" s="271" t="s">
        <v>81</v>
      </c>
      <c r="O250" s="297">
        <f t="shared" ref="O250:O253" si="78">LEFT(L250,SEARCH(" ",L250,1)-1)*M250*0.001</f>
        <v>2.5</v>
      </c>
      <c r="P250" s="271" t="s">
        <v>139</v>
      </c>
      <c r="Q250" s="324" t="e">
        <f>VLOOKUP(H250,BM!$B$3:$Y$62,6,FALSE)</f>
        <v>#N/A</v>
      </c>
      <c r="R250" s="271" t="s">
        <v>112</v>
      </c>
      <c r="S250" s="290" t="e">
        <f t="shared" si="59"/>
        <v>#N/A</v>
      </c>
      <c r="T250" s="275">
        <v>1</v>
      </c>
      <c r="U250" s="290" t="e">
        <f t="shared" si="60"/>
        <v>#N/A</v>
      </c>
      <c r="V250" s="276" t="s">
        <v>48</v>
      </c>
    </row>
    <row r="251" spans="1:22" s="172" customFormat="1" ht="20.25" customHeight="1">
      <c r="A251" s="263" t="str">
        <f t="shared" si="54"/>
        <v/>
      </c>
      <c r="B251" s="263"/>
      <c r="C251" s="264">
        <f t="shared" si="50"/>
        <v>250</v>
      </c>
      <c r="D251" s="277" t="s">
        <v>1477</v>
      </c>
      <c r="E251" s="293">
        <f t="shared" si="61"/>
        <v>249</v>
      </c>
      <c r="F251" s="267" t="s">
        <v>121</v>
      </c>
      <c r="G251" s="267"/>
      <c r="H251" s="308">
        <f>H248</f>
        <v>0</v>
      </c>
      <c r="I251" s="308"/>
      <c r="J251" s="308">
        <f t="shared" ref="J251:K251" si="79">J246</f>
        <v>2000</v>
      </c>
      <c r="K251" s="308" t="str">
        <f t="shared" si="79"/>
        <v>mm</v>
      </c>
      <c r="L251" s="367" t="str">
        <f t="shared" si="74"/>
        <v>2000 mm</v>
      </c>
      <c r="M251" s="326">
        <f t="shared" si="77"/>
        <v>1</v>
      </c>
      <c r="N251" s="271" t="s">
        <v>81</v>
      </c>
      <c r="O251" s="297">
        <f t="shared" si="78"/>
        <v>2</v>
      </c>
      <c r="P251" s="271" t="s">
        <v>139</v>
      </c>
      <c r="Q251" s="324" t="e">
        <f>VLOOKUP(H251,BM!$B$3:$Y$62,6,FALSE)</f>
        <v>#N/A</v>
      </c>
      <c r="R251" s="271" t="s">
        <v>112</v>
      </c>
      <c r="S251" s="290" t="e">
        <f t="shared" si="59"/>
        <v>#N/A</v>
      </c>
      <c r="T251" s="275">
        <v>1</v>
      </c>
      <c r="U251" s="290" t="e">
        <f t="shared" si="60"/>
        <v>#N/A</v>
      </c>
      <c r="V251" s="276" t="s">
        <v>48</v>
      </c>
    </row>
    <row r="252" spans="1:22" s="172" customFormat="1" ht="20.25" customHeight="1">
      <c r="A252" s="263" t="str">
        <f t="shared" si="54"/>
        <v/>
      </c>
      <c r="B252" s="263"/>
      <c r="C252" s="264">
        <f t="shared" si="50"/>
        <v>251</v>
      </c>
      <c r="D252" s="277" t="s">
        <v>1477</v>
      </c>
      <c r="E252" s="293">
        <f t="shared" si="61"/>
        <v>250</v>
      </c>
      <c r="F252" s="267" t="s">
        <v>121</v>
      </c>
      <c r="G252" s="267"/>
      <c r="H252" s="308">
        <f>H248</f>
        <v>0</v>
      </c>
      <c r="I252" s="308"/>
      <c r="J252" s="308">
        <f t="shared" ref="J252:K252" si="80">J247</f>
        <v>1000</v>
      </c>
      <c r="K252" s="308" t="str">
        <f t="shared" si="80"/>
        <v>mm</v>
      </c>
      <c r="L252" s="367" t="str">
        <f t="shared" si="74"/>
        <v>1000 mm</v>
      </c>
      <c r="M252" s="326">
        <f t="shared" si="77"/>
        <v>1</v>
      </c>
      <c r="N252" s="271" t="s">
        <v>81</v>
      </c>
      <c r="O252" s="297">
        <f t="shared" si="78"/>
        <v>1</v>
      </c>
      <c r="P252" s="271" t="s">
        <v>139</v>
      </c>
      <c r="Q252" s="324" t="e">
        <f>VLOOKUP(H252,BM!$B$3:$Y$62,6,FALSE)</f>
        <v>#N/A</v>
      </c>
      <c r="R252" s="271" t="s">
        <v>112</v>
      </c>
      <c r="S252" s="290" t="e">
        <f t="shared" si="59"/>
        <v>#N/A</v>
      </c>
      <c r="T252" s="275">
        <v>1</v>
      </c>
      <c r="U252" s="290" t="e">
        <f t="shared" si="60"/>
        <v>#N/A</v>
      </c>
      <c r="V252" s="276" t="s">
        <v>48</v>
      </c>
    </row>
    <row r="253" spans="1:22" s="172" customFormat="1" ht="20.25" customHeight="1">
      <c r="A253" s="263" t="str">
        <f t="shared" si="54"/>
        <v/>
      </c>
      <c r="B253" s="263"/>
      <c r="C253" s="264">
        <f t="shared" si="50"/>
        <v>252</v>
      </c>
      <c r="D253" s="277" t="s">
        <v>1477</v>
      </c>
      <c r="E253" s="293">
        <f t="shared" si="61"/>
        <v>251</v>
      </c>
      <c r="F253" s="267" t="s">
        <v>121</v>
      </c>
      <c r="G253" s="267"/>
      <c r="H253" s="308">
        <f>H248</f>
        <v>0</v>
      </c>
      <c r="I253" s="308"/>
      <c r="J253" s="308">
        <f t="shared" ref="J253:K253" si="81">J248</f>
        <v>0</v>
      </c>
      <c r="K253" s="308" t="str">
        <f t="shared" si="81"/>
        <v>mm</v>
      </c>
      <c r="L253" s="367" t="str">
        <f t="shared" si="74"/>
        <v>0 mm</v>
      </c>
      <c r="M253" s="326">
        <f t="shared" si="77"/>
        <v>1</v>
      </c>
      <c r="N253" s="271" t="s">
        <v>81</v>
      </c>
      <c r="O253" s="297">
        <f t="shared" si="78"/>
        <v>0</v>
      </c>
      <c r="P253" s="271" t="s">
        <v>139</v>
      </c>
      <c r="Q253" s="324" t="e">
        <f>VLOOKUP(H253,BM!$B$3:$Y$62,6,FALSE)</f>
        <v>#N/A</v>
      </c>
      <c r="R253" s="271" t="s">
        <v>112</v>
      </c>
      <c r="S253" s="290" t="e">
        <f t="shared" si="59"/>
        <v>#N/A</v>
      </c>
      <c r="T253" s="275">
        <v>1</v>
      </c>
      <c r="U253" s="290" t="e">
        <f t="shared" si="60"/>
        <v>#N/A</v>
      </c>
      <c r="V253" s="276" t="s">
        <v>48</v>
      </c>
    </row>
    <row r="254" spans="1:22" s="172" customFormat="1" ht="20.25" customHeight="1">
      <c r="A254" s="263">
        <f t="shared" si="54"/>
        <v>253</v>
      </c>
      <c r="B254" s="263" t="s">
        <v>1263</v>
      </c>
      <c r="C254" s="264">
        <f t="shared" si="50"/>
        <v>253</v>
      </c>
      <c r="D254" s="265" t="s">
        <v>1478</v>
      </c>
      <c r="E254" s="279">
        <f>C249</f>
        <v>248</v>
      </c>
      <c r="F254" s="267"/>
      <c r="G254" s="267"/>
      <c r="H254" s="268"/>
      <c r="I254" s="268"/>
      <c r="J254" s="269"/>
      <c r="K254" s="269"/>
      <c r="L254" s="269"/>
      <c r="M254" s="319"/>
      <c r="N254" s="271"/>
      <c r="O254" s="280"/>
      <c r="P254" s="271"/>
      <c r="Q254" s="281"/>
      <c r="R254" s="271"/>
      <c r="S254" s="312"/>
      <c r="T254" s="282"/>
      <c r="U254" s="312"/>
      <c r="V254" s="276"/>
    </row>
    <row r="255" spans="1:22" s="172" customFormat="1" ht="20.25" customHeight="1">
      <c r="A255" s="263" t="str">
        <f t="shared" si="54"/>
        <v/>
      </c>
      <c r="B255" s="263"/>
      <c r="C255" s="264">
        <f t="shared" si="50"/>
        <v>254</v>
      </c>
      <c r="D255" s="277" t="s">
        <v>1479</v>
      </c>
      <c r="E255" s="293"/>
      <c r="F255" s="267" t="s">
        <v>286</v>
      </c>
      <c r="G255" s="267"/>
      <c r="H255" s="308">
        <f>H253</f>
        <v>0</v>
      </c>
      <c r="I255" s="308"/>
      <c r="J255" s="308">
        <f t="shared" ref="J255:K255" si="82">J250</f>
        <v>2500</v>
      </c>
      <c r="K255" s="308" t="str">
        <f t="shared" si="82"/>
        <v>mm</v>
      </c>
      <c r="L255" s="367" t="str">
        <f t="shared" si="74"/>
        <v>2500 mm</v>
      </c>
      <c r="M255" s="326">
        <f t="shared" ref="M255:M257" si="83">M250</f>
        <v>1</v>
      </c>
      <c r="N255" s="271" t="s">
        <v>81</v>
      </c>
      <c r="O255" s="305">
        <v>1</v>
      </c>
      <c r="P255" s="296" t="s">
        <v>81</v>
      </c>
      <c r="Q255" s="324" t="e">
        <f>VLOOKUP(H255,BM!$B$3:$Y$62,8,FALSE)</f>
        <v>#N/A</v>
      </c>
      <c r="R255" s="271" t="s">
        <v>112</v>
      </c>
      <c r="S255" s="290" t="e">
        <f t="shared" si="59"/>
        <v>#N/A</v>
      </c>
      <c r="T255" s="275">
        <v>1</v>
      </c>
      <c r="U255" s="290" t="e">
        <f t="shared" si="60"/>
        <v>#N/A</v>
      </c>
      <c r="V255" s="276" t="s">
        <v>48</v>
      </c>
    </row>
    <row r="256" spans="1:22" s="172" customFormat="1" ht="20.25" customHeight="1">
      <c r="A256" s="263" t="str">
        <f t="shared" si="54"/>
        <v/>
      </c>
      <c r="B256" s="263"/>
      <c r="C256" s="264">
        <f t="shared" si="50"/>
        <v>255</v>
      </c>
      <c r="D256" s="277" t="s">
        <v>1479</v>
      </c>
      <c r="E256" s="293">
        <f t="shared" si="61"/>
        <v>254</v>
      </c>
      <c r="F256" s="267" t="s">
        <v>286</v>
      </c>
      <c r="G256" s="267"/>
      <c r="H256" s="308">
        <f>H253</f>
        <v>0</v>
      </c>
      <c r="I256" s="308"/>
      <c r="J256" s="308">
        <f t="shared" ref="J256:K256" si="84">J251</f>
        <v>2000</v>
      </c>
      <c r="K256" s="308" t="str">
        <f t="shared" si="84"/>
        <v>mm</v>
      </c>
      <c r="L256" s="367" t="str">
        <f t="shared" si="74"/>
        <v>2000 mm</v>
      </c>
      <c r="M256" s="326">
        <f t="shared" si="83"/>
        <v>1</v>
      </c>
      <c r="N256" s="271" t="s">
        <v>81</v>
      </c>
      <c r="O256" s="305">
        <v>1</v>
      </c>
      <c r="P256" s="271" t="str">
        <f>P255</f>
        <v>Nos</v>
      </c>
      <c r="Q256" s="324" t="e">
        <f>VLOOKUP(H256,BM!$B$3:$Y$62,8,FALSE)</f>
        <v>#N/A</v>
      </c>
      <c r="R256" s="271" t="s">
        <v>112</v>
      </c>
      <c r="S256" s="290" t="e">
        <f t="shared" si="59"/>
        <v>#N/A</v>
      </c>
      <c r="T256" s="275">
        <v>1</v>
      </c>
      <c r="U256" s="290" t="e">
        <f t="shared" si="60"/>
        <v>#N/A</v>
      </c>
      <c r="V256" s="276" t="s">
        <v>48</v>
      </c>
    </row>
    <row r="257" spans="1:22" s="172" customFormat="1" ht="20.25" customHeight="1">
      <c r="A257" s="263" t="str">
        <f t="shared" si="54"/>
        <v/>
      </c>
      <c r="B257" s="263"/>
      <c r="C257" s="264">
        <f t="shared" si="50"/>
        <v>256</v>
      </c>
      <c r="D257" s="277" t="s">
        <v>1479</v>
      </c>
      <c r="E257" s="293">
        <f t="shared" si="61"/>
        <v>255</v>
      </c>
      <c r="F257" s="267" t="s">
        <v>286</v>
      </c>
      <c r="G257" s="267"/>
      <c r="H257" s="308">
        <f>H253</f>
        <v>0</v>
      </c>
      <c r="I257" s="308"/>
      <c r="J257" s="308">
        <f t="shared" ref="J257:K257" si="85">J252</f>
        <v>1000</v>
      </c>
      <c r="K257" s="308" t="str">
        <f t="shared" si="85"/>
        <v>mm</v>
      </c>
      <c r="L257" s="367" t="str">
        <f t="shared" si="74"/>
        <v>1000 mm</v>
      </c>
      <c r="M257" s="326">
        <f t="shared" si="83"/>
        <v>1</v>
      </c>
      <c r="N257" s="271" t="s">
        <v>81</v>
      </c>
      <c r="O257" s="305">
        <v>1</v>
      </c>
      <c r="P257" s="271" t="str">
        <f>P256</f>
        <v>Nos</v>
      </c>
      <c r="Q257" s="324" t="e">
        <f>VLOOKUP(H257,BM!$B$3:$Y$62,8,FALSE)</f>
        <v>#N/A</v>
      </c>
      <c r="R257" s="271" t="s">
        <v>112</v>
      </c>
      <c r="S257" s="290" t="e">
        <f t="shared" si="59"/>
        <v>#N/A</v>
      </c>
      <c r="T257" s="275">
        <v>1</v>
      </c>
      <c r="U257" s="290" t="e">
        <f t="shared" si="60"/>
        <v>#N/A</v>
      </c>
      <c r="V257" s="276" t="s">
        <v>48</v>
      </c>
    </row>
    <row r="258" spans="1:22" s="172" customFormat="1" ht="20.25" customHeight="1">
      <c r="A258" s="263" t="str">
        <f t="shared" si="54"/>
        <v/>
      </c>
      <c r="B258" s="263"/>
      <c r="C258" s="264">
        <f t="shared" si="50"/>
        <v>257</v>
      </c>
      <c r="D258" s="277" t="s">
        <v>1479</v>
      </c>
      <c r="E258" s="293">
        <f t="shared" si="61"/>
        <v>256</v>
      </c>
      <c r="F258" s="267" t="s">
        <v>286</v>
      </c>
      <c r="G258" s="267"/>
      <c r="H258" s="308">
        <f>H253</f>
        <v>0</v>
      </c>
      <c r="I258" s="308"/>
      <c r="J258" s="308">
        <f t="shared" ref="J258:K258" si="86">J253</f>
        <v>0</v>
      </c>
      <c r="K258" s="308" t="str">
        <f t="shared" si="86"/>
        <v>mm</v>
      </c>
      <c r="L258" s="367" t="str">
        <f>J258&amp;" "&amp;K258</f>
        <v>0 mm</v>
      </c>
      <c r="M258" s="326">
        <v>0</v>
      </c>
      <c r="N258" s="271" t="s">
        <v>81</v>
      </c>
      <c r="O258" s="305">
        <v>0</v>
      </c>
      <c r="P258" s="271" t="str">
        <f>P257</f>
        <v>Nos</v>
      </c>
      <c r="Q258" s="324" t="e">
        <f>VLOOKUP(H258,BM!$B$3:$Y$62,8,FALSE)</f>
        <v>#N/A</v>
      </c>
      <c r="R258" s="271" t="s">
        <v>112</v>
      </c>
      <c r="S258" s="290" t="e">
        <f t="shared" si="59"/>
        <v>#N/A</v>
      </c>
      <c r="T258" s="275"/>
      <c r="U258" s="307"/>
      <c r="V258" s="276" t="s">
        <v>48</v>
      </c>
    </row>
    <row r="259" spans="1:22" s="172" customFormat="1" ht="20.25" customHeight="1">
      <c r="A259" s="263">
        <f t="shared" si="54"/>
        <v>258</v>
      </c>
      <c r="B259" s="263" t="s">
        <v>1263</v>
      </c>
      <c r="C259" s="264">
        <f t="shared" si="50"/>
        <v>258</v>
      </c>
      <c r="D259" s="265" t="s">
        <v>1480</v>
      </c>
      <c r="E259" s="279">
        <f>C254</f>
        <v>253</v>
      </c>
      <c r="F259" s="267"/>
      <c r="G259" s="267"/>
      <c r="H259" s="268"/>
      <c r="I259" s="268"/>
      <c r="J259" s="269"/>
      <c r="K259" s="269"/>
      <c r="L259" s="269"/>
      <c r="M259" s="319"/>
      <c r="N259" s="271"/>
      <c r="O259" s="280"/>
      <c r="P259" s="271"/>
      <c r="Q259" s="281"/>
      <c r="R259" s="271"/>
      <c r="S259" s="312"/>
      <c r="T259" s="282"/>
      <c r="U259" s="312"/>
      <c r="V259" s="276"/>
    </row>
    <row r="260" spans="1:22" s="172" customFormat="1" ht="20.25" customHeight="1">
      <c r="A260" s="263" t="str">
        <f t="shared" si="54"/>
        <v/>
      </c>
      <c r="B260" s="263"/>
      <c r="C260" s="264">
        <f t="shared" ref="C260:C323" si="87">C259+1</f>
        <v>259</v>
      </c>
      <c r="D260" s="277" t="s">
        <v>1481</v>
      </c>
      <c r="E260" s="293"/>
      <c r="F260" s="267" t="s">
        <v>289</v>
      </c>
      <c r="G260" s="267"/>
      <c r="H260" s="308">
        <f>H258</f>
        <v>0</v>
      </c>
      <c r="I260" s="308"/>
      <c r="J260" s="308">
        <f>J255</f>
        <v>2500</v>
      </c>
      <c r="K260" s="308" t="str">
        <f>K255</f>
        <v>mm</v>
      </c>
      <c r="L260" s="367" t="str">
        <f>J260&amp;" "&amp;K260</f>
        <v>2500 mm</v>
      </c>
      <c r="M260" s="319">
        <v>1</v>
      </c>
      <c r="N260" s="271" t="s">
        <v>81</v>
      </c>
      <c r="O260" s="318">
        <v>1</v>
      </c>
      <c r="P260" s="271" t="s">
        <v>81</v>
      </c>
      <c r="Q260" s="324" t="e">
        <f>VLOOKUP(H260,BM!$B$3:$Y$62,8,FALSE)</f>
        <v>#N/A</v>
      </c>
      <c r="R260" s="271" t="s">
        <v>112</v>
      </c>
      <c r="S260" s="290" t="e">
        <f t="shared" si="59"/>
        <v>#N/A</v>
      </c>
      <c r="T260" s="275">
        <v>1</v>
      </c>
      <c r="U260" s="290" t="e">
        <f t="shared" si="60"/>
        <v>#N/A</v>
      </c>
      <c r="V260" s="276" t="s">
        <v>48</v>
      </c>
    </row>
    <row r="261" spans="1:22" s="172" customFormat="1" ht="20.25" customHeight="1">
      <c r="A261" s="263" t="str">
        <f t="shared" si="54"/>
        <v/>
      </c>
      <c r="B261" s="263"/>
      <c r="C261" s="264">
        <f t="shared" si="87"/>
        <v>260</v>
      </c>
      <c r="D261" s="277" t="s">
        <v>1481</v>
      </c>
      <c r="E261" s="293">
        <f t="shared" si="61"/>
        <v>259</v>
      </c>
      <c r="F261" s="267" t="s">
        <v>289</v>
      </c>
      <c r="G261" s="267"/>
      <c r="H261" s="308">
        <f>H258</f>
        <v>0</v>
      </c>
      <c r="I261" s="308"/>
      <c r="J261" s="308">
        <f>J256</f>
        <v>2000</v>
      </c>
      <c r="K261" s="308" t="str">
        <f>K256</f>
        <v>mm</v>
      </c>
      <c r="L261" s="367" t="str">
        <f>J261&amp;" "&amp;K261</f>
        <v>2000 mm</v>
      </c>
      <c r="M261" s="319">
        <v>1</v>
      </c>
      <c r="N261" s="271" t="s">
        <v>81</v>
      </c>
      <c r="O261" s="318">
        <v>1</v>
      </c>
      <c r="P261" s="271" t="s">
        <v>81</v>
      </c>
      <c r="Q261" s="324" t="e">
        <f>VLOOKUP(H261,BM!$B$3:$Y$62,8,FALSE)</f>
        <v>#N/A</v>
      </c>
      <c r="R261" s="271" t="s">
        <v>112</v>
      </c>
      <c r="S261" s="290" t="e">
        <f t="shared" si="59"/>
        <v>#N/A</v>
      </c>
      <c r="T261" s="275">
        <v>1</v>
      </c>
      <c r="U261" s="290" t="e">
        <f t="shared" si="60"/>
        <v>#N/A</v>
      </c>
      <c r="V261" s="276" t="s">
        <v>48</v>
      </c>
    </row>
    <row r="262" spans="1:22" s="172" customFormat="1" ht="20.25" customHeight="1">
      <c r="A262" s="263" t="str">
        <f t="shared" si="54"/>
        <v/>
      </c>
      <c r="B262" s="263"/>
      <c r="C262" s="264">
        <f t="shared" si="87"/>
        <v>261</v>
      </c>
      <c r="D262" s="277" t="s">
        <v>1481</v>
      </c>
      <c r="E262" s="293">
        <f t="shared" si="61"/>
        <v>260</v>
      </c>
      <c r="F262" s="267" t="s">
        <v>289</v>
      </c>
      <c r="G262" s="267"/>
      <c r="H262" s="308">
        <f>H258</f>
        <v>0</v>
      </c>
      <c r="I262" s="308"/>
      <c r="J262" s="308">
        <f>J257</f>
        <v>1000</v>
      </c>
      <c r="K262" s="308" t="str">
        <f>K257</f>
        <v>mm</v>
      </c>
      <c r="L262" s="367" t="str">
        <f>J262&amp;" "&amp;K262</f>
        <v>1000 mm</v>
      </c>
      <c r="M262" s="319">
        <v>1</v>
      </c>
      <c r="N262" s="271" t="s">
        <v>81</v>
      </c>
      <c r="O262" s="318">
        <v>1</v>
      </c>
      <c r="P262" s="271" t="s">
        <v>81</v>
      </c>
      <c r="Q262" s="324" t="e">
        <f>VLOOKUP(H262,BM!$B$3:$Y$62,8,FALSE)</f>
        <v>#N/A</v>
      </c>
      <c r="R262" s="271" t="s">
        <v>112</v>
      </c>
      <c r="S262" s="290" t="e">
        <f t="shared" si="59"/>
        <v>#N/A</v>
      </c>
      <c r="T262" s="275">
        <v>1</v>
      </c>
      <c r="U262" s="290" t="e">
        <f t="shared" si="60"/>
        <v>#N/A</v>
      </c>
      <c r="V262" s="276" t="s">
        <v>48</v>
      </c>
    </row>
    <row r="263" spans="1:22" s="172" customFormat="1" ht="20.25" customHeight="1">
      <c r="A263" s="263" t="str">
        <f t="shared" si="54"/>
        <v/>
      </c>
      <c r="B263" s="263"/>
      <c r="C263" s="264">
        <f t="shared" si="87"/>
        <v>262</v>
      </c>
      <c r="D263" s="277" t="s">
        <v>1481</v>
      </c>
      <c r="E263" s="293">
        <f t="shared" si="61"/>
        <v>261</v>
      </c>
      <c r="F263" s="267" t="s">
        <v>289</v>
      </c>
      <c r="G263" s="267"/>
      <c r="H263" s="308">
        <f>H258</f>
        <v>0</v>
      </c>
      <c r="I263" s="308"/>
      <c r="J263" s="308">
        <f>J258</f>
        <v>0</v>
      </c>
      <c r="K263" s="308" t="str">
        <f>K258</f>
        <v>mm</v>
      </c>
      <c r="L263" s="367" t="str">
        <f>J263&amp;" "&amp;K263</f>
        <v>0 mm</v>
      </c>
      <c r="M263" s="319">
        <v>1</v>
      </c>
      <c r="N263" s="271" t="s">
        <v>81</v>
      </c>
      <c r="O263" s="318">
        <v>0</v>
      </c>
      <c r="P263" s="271" t="s">
        <v>81</v>
      </c>
      <c r="Q263" s="324" t="e">
        <f>VLOOKUP(H263,BM!$B$3:$Y$62,8,FALSE)</f>
        <v>#N/A</v>
      </c>
      <c r="R263" s="271" t="s">
        <v>112</v>
      </c>
      <c r="S263" s="290" t="e">
        <f t="shared" si="59"/>
        <v>#N/A</v>
      </c>
      <c r="T263" s="275">
        <v>1</v>
      </c>
      <c r="U263" s="290" t="e">
        <f t="shared" si="60"/>
        <v>#N/A</v>
      </c>
      <c r="V263" s="276" t="s">
        <v>48</v>
      </c>
    </row>
    <row r="264" spans="1:22" s="172" customFormat="1" ht="20.25" customHeight="1">
      <c r="A264" s="263">
        <f t="shared" si="54"/>
        <v>263</v>
      </c>
      <c r="B264" s="263" t="s">
        <v>1263</v>
      </c>
      <c r="C264" s="264">
        <f t="shared" si="87"/>
        <v>263</v>
      </c>
      <c r="D264" s="265" t="s">
        <v>1482</v>
      </c>
      <c r="E264" s="279">
        <f>C259</f>
        <v>258</v>
      </c>
      <c r="F264" s="267"/>
      <c r="G264" s="267"/>
      <c r="H264" s="268"/>
      <c r="I264" s="268"/>
      <c r="J264" s="269"/>
      <c r="K264" s="269"/>
      <c r="L264" s="269"/>
      <c r="M264" s="319"/>
      <c r="N264" s="271"/>
      <c r="O264" s="280"/>
      <c r="P264" s="271"/>
      <c r="Q264" s="281"/>
      <c r="R264" s="271"/>
      <c r="S264" s="312"/>
      <c r="T264" s="282"/>
      <c r="U264" s="312"/>
      <c r="V264" s="276"/>
    </row>
    <row r="265" spans="1:22" s="172" customFormat="1" ht="20.25" customHeight="1">
      <c r="A265" s="263" t="str">
        <f t="shared" si="54"/>
        <v/>
      </c>
      <c r="B265" s="263"/>
      <c r="C265" s="264">
        <f t="shared" si="87"/>
        <v>264</v>
      </c>
      <c r="D265" s="277" t="s">
        <v>1483</v>
      </c>
      <c r="E265" s="293"/>
      <c r="F265" s="267" t="s">
        <v>44</v>
      </c>
      <c r="G265" s="267"/>
      <c r="H265" s="308">
        <f>H263</f>
        <v>0</v>
      </c>
      <c r="I265" s="308"/>
      <c r="J265" s="308">
        <f>J260</f>
        <v>2500</v>
      </c>
      <c r="K265" s="308" t="str">
        <f>K260</f>
        <v>mm</v>
      </c>
      <c r="L265" s="367" t="str">
        <f>J265&amp;" "&amp;K265</f>
        <v>2500 mm</v>
      </c>
      <c r="M265" s="319">
        <v>1</v>
      </c>
      <c r="N265" s="271" t="s">
        <v>81</v>
      </c>
      <c r="O265" s="297">
        <f t="shared" ref="O265:O268" si="88">LEFT(L265,SEARCH(" ",L265,1)-1)*M265*0.001</f>
        <v>2.5</v>
      </c>
      <c r="P265" s="271" t="s">
        <v>139</v>
      </c>
      <c r="Q265" s="324" t="e">
        <f>VLOOKUP(H265,BM!$B$3:$Y$62,9,FALSE)</f>
        <v>#N/A</v>
      </c>
      <c r="R265" s="271" t="s">
        <v>112</v>
      </c>
      <c r="S265" s="290" t="e">
        <f t="shared" si="59"/>
        <v>#N/A</v>
      </c>
      <c r="T265" s="275">
        <v>1</v>
      </c>
      <c r="U265" s="290" t="e">
        <f t="shared" si="60"/>
        <v>#N/A</v>
      </c>
      <c r="V265" s="276" t="s">
        <v>48</v>
      </c>
    </row>
    <row r="266" spans="1:22" s="172" customFormat="1" ht="20.25" customHeight="1">
      <c r="A266" s="263" t="str">
        <f t="shared" si="54"/>
        <v/>
      </c>
      <c r="B266" s="263"/>
      <c r="C266" s="264">
        <f t="shared" si="87"/>
        <v>265</v>
      </c>
      <c r="D266" s="277" t="s">
        <v>1483</v>
      </c>
      <c r="E266" s="293">
        <f t="shared" si="61"/>
        <v>264</v>
      </c>
      <c r="F266" s="267" t="s">
        <v>44</v>
      </c>
      <c r="G266" s="267"/>
      <c r="H266" s="308">
        <f>H263</f>
        <v>0</v>
      </c>
      <c r="I266" s="308"/>
      <c r="J266" s="308">
        <f>J261</f>
        <v>2000</v>
      </c>
      <c r="K266" s="308" t="str">
        <f>K261</f>
        <v>mm</v>
      </c>
      <c r="L266" s="367" t="str">
        <f>J266&amp;" "&amp;K266</f>
        <v>2000 mm</v>
      </c>
      <c r="M266" s="319">
        <v>1</v>
      </c>
      <c r="N266" s="271" t="s">
        <v>81</v>
      </c>
      <c r="O266" s="297">
        <f t="shared" si="88"/>
        <v>2</v>
      </c>
      <c r="P266" s="271" t="s">
        <v>139</v>
      </c>
      <c r="Q266" s="324" t="e">
        <f>VLOOKUP(H266,BM!$B$3:$Y$62,9,FALSE)</f>
        <v>#N/A</v>
      </c>
      <c r="R266" s="271" t="s">
        <v>112</v>
      </c>
      <c r="S266" s="290" t="e">
        <f t="shared" si="59"/>
        <v>#N/A</v>
      </c>
      <c r="T266" s="275">
        <v>1</v>
      </c>
      <c r="U266" s="290" t="e">
        <f t="shared" si="60"/>
        <v>#N/A</v>
      </c>
      <c r="V266" s="276" t="s">
        <v>48</v>
      </c>
    </row>
    <row r="267" spans="1:22" s="172" customFormat="1" ht="20.25" customHeight="1">
      <c r="A267" s="263" t="str">
        <f t="shared" si="54"/>
        <v/>
      </c>
      <c r="B267" s="263"/>
      <c r="C267" s="264">
        <f t="shared" si="87"/>
        <v>266</v>
      </c>
      <c r="D267" s="277" t="s">
        <v>1483</v>
      </c>
      <c r="E267" s="293">
        <f t="shared" si="61"/>
        <v>265</v>
      </c>
      <c r="F267" s="267" t="s">
        <v>44</v>
      </c>
      <c r="G267" s="267"/>
      <c r="H267" s="308">
        <f>H263</f>
        <v>0</v>
      </c>
      <c r="I267" s="308"/>
      <c r="J267" s="308">
        <f>J262</f>
        <v>1000</v>
      </c>
      <c r="K267" s="308" t="str">
        <f>K262</f>
        <v>mm</v>
      </c>
      <c r="L267" s="367" t="str">
        <f>J267&amp;" "&amp;K267</f>
        <v>1000 mm</v>
      </c>
      <c r="M267" s="319">
        <v>1</v>
      </c>
      <c r="N267" s="271" t="s">
        <v>81</v>
      </c>
      <c r="O267" s="297">
        <f t="shared" si="88"/>
        <v>1</v>
      </c>
      <c r="P267" s="271" t="s">
        <v>139</v>
      </c>
      <c r="Q267" s="324" t="e">
        <f>VLOOKUP(H267,BM!$B$3:$Y$62,9,FALSE)</f>
        <v>#N/A</v>
      </c>
      <c r="R267" s="271" t="s">
        <v>112</v>
      </c>
      <c r="S267" s="290" t="e">
        <f t="shared" si="59"/>
        <v>#N/A</v>
      </c>
      <c r="T267" s="275">
        <v>1</v>
      </c>
      <c r="U267" s="290" t="e">
        <f t="shared" si="60"/>
        <v>#N/A</v>
      </c>
      <c r="V267" s="276" t="s">
        <v>48</v>
      </c>
    </row>
    <row r="268" spans="1:22" s="172" customFormat="1" ht="20.25" customHeight="1">
      <c r="A268" s="263" t="str">
        <f t="shared" si="54"/>
        <v/>
      </c>
      <c r="B268" s="263"/>
      <c r="C268" s="264">
        <f t="shared" si="87"/>
        <v>267</v>
      </c>
      <c r="D268" s="277" t="s">
        <v>1483</v>
      </c>
      <c r="E268" s="293">
        <f t="shared" si="61"/>
        <v>266</v>
      </c>
      <c r="F268" s="267" t="s">
        <v>44</v>
      </c>
      <c r="G268" s="267"/>
      <c r="H268" s="308">
        <f>H263</f>
        <v>0</v>
      </c>
      <c r="I268" s="308"/>
      <c r="J268" s="308">
        <f>J263</f>
        <v>0</v>
      </c>
      <c r="K268" s="308" t="str">
        <f>K263</f>
        <v>mm</v>
      </c>
      <c r="L268" s="367" t="str">
        <f>J268&amp;" "&amp;K268</f>
        <v>0 mm</v>
      </c>
      <c r="M268" s="319">
        <v>1</v>
      </c>
      <c r="N268" s="271" t="s">
        <v>81</v>
      </c>
      <c r="O268" s="297">
        <f t="shared" si="88"/>
        <v>0</v>
      </c>
      <c r="P268" s="271" t="s">
        <v>139</v>
      </c>
      <c r="Q268" s="324" t="e">
        <f>VLOOKUP(H268,BM!$B$3:$Y$62,9,FALSE)</f>
        <v>#N/A</v>
      </c>
      <c r="R268" s="271" t="s">
        <v>112</v>
      </c>
      <c r="S268" s="290" t="e">
        <f t="shared" si="59"/>
        <v>#N/A</v>
      </c>
      <c r="T268" s="275">
        <v>1</v>
      </c>
      <c r="U268" s="290" t="e">
        <f t="shared" si="60"/>
        <v>#N/A</v>
      </c>
      <c r="V268" s="276" t="s">
        <v>48</v>
      </c>
    </row>
    <row r="269" spans="1:22" s="172" customFormat="1" ht="20.25" customHeight="1">
      <c r="A269" s="263">
        <f t="shared" si="54"/>
        <v>268</v>
      </c>
      <c r="B269" s="263" t="s">
        <v>1263</v>
      </c>
      <c r="C269" s="264">
        <f t="shared" si="87"/>
        <v>268</v>
      </c>
      <c r="D269" s="265" t="s">
        <v>1484</v>
      </c>
      <c r="E269" s="279">
        <f>C264</f>
        <v>263</v>
      </c>
      <c r="F269" s="267"/>
      <c r="G269" s="267"/>
      <c r="H269" s="268"/>
      <c r="I269" s="268"/>
      <c r="J269" s="269"/>
      <c r="K269" s="269"/>
      <c r="L269" s="269"/>
      <c r="M269" s="319"/>
      <c r="N269" s="271"/>
      <c r="O269" s="280"/>
      <c r="P269" s="271"/>
      <c r="Q269" s="281"/>
      <c r="R269" s="271"/>
      <c r="S269" s="312"/>
      <c r="T269" s="282"/>
      <c r="U269" s="312"/>
      <c r="V269" s="276"/>
    </row>
    <row r="270" spans="1:22" s="172" customFormat="1" ht="20.25" customHeight="1">
      <c r="A270" s="263" t="str">
        <f t="shared" si="54"/>
        <v/>
      </c>
      <c r="B270" s="263"/>
      <c r="C270" s="264">
        <f t="shared" si="87"/>
        <v>269</v>
      </c>
      <c r="D270" s="277" t="s">
        <v>1485</v>
      </c>
      <c r="E270" s="293"/>
      <c r="F270" s="267" t="s">
        <v>286</v>
      </c>
      <c r="G270" s="267"/>
      <c r="H270" s="308">
        <f>H268</f>
        <v>0</v>
      </c>
      <c r="I270" s="308"/>
      <c r="J270" s="308">
        <f>J265</f>
        <v>2500</v>
      </c>
      <c r="K270" s="308" t="str">
        <f>K265</f>
        <v>mm</v>
      </c>
      <c r="L270" s="367" t="str">
        <f>J270&amp;" "&amp;K270</f>
        <v>2500 mm</v>
      </c>
      <c r="M270" s="319">
        <v>1</v>
      </c>
      <c r="N270" s="271" t="s">
        <v>81</v>
      </c>
      <c r="O270" s="327">
        <f>M270</f>
        <v>1</v>
      </c>
      <c r="P270" s="296" t="s">
        <v>81</v>
      </c>
      <c r="Q270" s="273">
        <v>3</v>
      </c>
      <c r="R270" s="271" t="s">
        <v>112</v>
      </c>
      <c r="S270" s="290">
        <f t="shared" si="59"/>
        <v>3</v>
      </c>
      <c r="T270" s="275">
        <v>1</v>
      </c>
      <c r="U270" s="290">
        <f t="shared" si="60"/>
        <v>4</v>
      </c>
      <c r="V270" s="276" t="s">
        <v>48</v>
      </c>
    </row>
    <row r="271" spans="1:22" s="172" customFormat="1" ht="20.25" customHeight="1">
      <c r="A271" s="263" t="str">
        <f t="shared" si="54"/>
        <v/>
      </c>
      <c r="B271" s="263"/>
      <c r="C271" s="264">
        <f t="shared" si="87"/>
        <v>270</v>
      </c>
      <c r="D271" s="277" t="s">
        <v>1486</v>
      </c>
      <c r="E271" s="293">
        <f t="shared" si="61"/>
        <v>269</v>
      </c>
      <c r="F271" s="267" t="s">
        <v>286</v>
      </c>
      <c r="G271" s="267"/>
      <c r="H271" s="308">
        <f>H268</f>
        <v>0</v>
      </c>
      <c r="I271" s="308"/>
      <c r="J271" s="308">
        <f>J266</f>
        <v>2000</v>
      </c>
      <c r="K271" s="308" t="str">
        <f>K266</f>
        <v>mm</v>
      </c>
      <c r="L271" s="367" t="str">
        <f>J271&amp;" "&amp;K271</f>
        <v>2000 mm</v>
      </c>
      <c r="M271" s="319">
        <v>1</v>
      </c>
      <c r="N271" s="271" t="s">
        <v>81</v>
      </c>
      <c r="O271" s="327">
        <f>M271</f>
        <v>1</v>
      </c>
      <c r="P271" s="296" t="s">
        <v>81</v>
      </c>
      <c r="Q271" s="324">
        <f>Q270</f>
        <v>3</v>
      </c>
      <c r="R271" s="271" t="s">
        <v>112</v>
      </c>
      <c r="S271" s="290">
        <f t="shared" si="59"/>
        <v>3</v>
      </c>
      <c r="T271" s="275">
        <v>1</v>
      </c>
      <c r="U271" s="290">
        <f t="shared" si="60"/>
        <v>4</v>
      </c>
      <c r="V271" s="276" t="s">
        <v>48</v>
      </c>
    </row>
    <row r="272" spans="1:22" s="172" customFormat="1" ht="20.25" customHeight="1">
      <c r="A272" s="263" t="str">
        <f t="shared" si="54"/>
        <v/>
      </c>
      <c r="B272" s="263"/>
      <c r="C272" s="264">
        <f t="shared" si="87"/>
        <v>271</v>
      </c>
      <c r="D272" s="277" t="s">
        <v>1486</v>
      </c>
      <c r="E272" s="293">
        <f t="shared" si="61"/>
        <v>270</v>
      </c>
      <c r="F272" s="267" t="s">
        <v>286</v>
      </c>
      <c r="G272" s="267"/>
      <c r="H272" s="308">
        <f>H268</f>
        <v>0</v>
      </c>
      <c r="I272" s="308"/>
      <c r="J272" s="308">
        <f>J267</f>
        <v>1000</v>
      </c>
      <c r="K272" s="308" t="str">
        <f>K267</f>
        <v>mm</v>
      </c>
      <c r="L272" s="367" t="str">
        <f>J272&amp;" "&amp;K272</f>
        <v>1000 mm</v>
      </c>
      <c r="M272" s="319">
        <v>1</v>
      </c>
      <c r="N272" s="271" t="s">
        <v>81</v>
      </c>
      <c r="O272" s="327">
        <f>M272</f>
        <v>1</v>
      </c>
      <c r="P272" s="296" t="s">
        <v>81</v>
      </c>
      <c r="Q272" s="324">
        <f>Q271</f>
        <v>3</v>
      </c>
      <c r="R272" s="271" t="s">
        <v>112</v>
      </c>
      <c r="S272" s="290">
        <f t="shared" si="59"/>
        <v>3</v>
      </c>
      <c r="T272" s="275">
        <v>1</v>
      </c>
      <c r="U272" s="290">
        <f t="shared" si="60"/>
        <v>4</v>
      </c>
      <c r="V272" s="276" t="s">
        <v>48</v>
      </c>
    </row>
    <row r="273" spans="1:22" s="172" customFormat="1" ht="20.25" customHeight="1">
      <c r="A273" s="263" t="str">
        <f t="shared" si="54"/>
        <v/>
      </c>
      <c r="B273" s="263"/>
      <c r="C273" s="264">
        <f t="shared" si="87"/>
        <v>272</v>
      </c>
      <c r="D273" s="277" t="s">
        <v>1486</v>
      </c>
      <c r="E273" s="293">
        <f t="shared" si="61"/>
        <v>271</v>
      </c>
      <c r="F273" s="267" t="s">
        <v>286</v>
      </c>
      <c r="G273" s="267"/>
      <c r="H273" s="308">
        <f>H268</f>
        <v>0</v>
      </c>
      <c r="I273" s="308"/>
      <c r="J273" s="308">
        <f>J268</f>
        <v>0</v>
      </c>
      <c r="K273" s="308" t="str">
        <f>K268</f>
        <v>mm</v>
      </c>
      <c r="L273" s="367" t="str">
        <f>J273&amp;" "&amp;K273</f>
        <v>0 mm</v>
      </c>
      <c r="M273" s="319">
        <v>1</v>
      </c>
      <c r="N273" s="271" t="s">
        <v>81</v>
      </c>
      <c r="O273" s="327">
        <f>M273</f>
        <v>1</v>
      </c>
      <c r="P273" s="296" t="s">
        <v>81</v>
      </c>
      <c r="Q273" s="324">
        <f>Q272</f>
        <v>3</v>
      </c>
      <c r="R273" s="271" t="s">
        <v>112</v>
      </c>
      <c r="S273" s="290">
        <f t="shared" si="59"/>
        <v>3</v>
      </c>
      <c r="T273" s="275">
        <v>1</v>
      </c>
      <c r="U273" s="290">
        <f t="shared" si="60"/>
        <v>4</v>
      </c>
      <c r="V273" s="276" t="s">
        <v>48</v>
      </c>
    </row>
    <row r="274" spans="1:22" s="172" customFormat="1" ht="20.25" customHeight="1">
      <c r="A274" s="263">
        <f t="shared" si="54"/>
        <v>273</v>
      </c>
      <c r="B274" s="263" t="s">
        <v>1263</v>
      </c>
      <c r="C274" s="264">
        <f t="shared" si="87"/>
        <v>273</v>
      </c>
      <c r="D274" s="265" t="s">
        <v>1487</v>
      </c>
      <c r="E274" s="279">
        <f>C269</f>
        <v>268</v>
      </c>
      <c r="F274" s="267"/>
      <c r="G274" s="267"/>
      <c r="H274" s="268"/>
      <c r="I274" s="268"/>
      <c r="J274" s="269"/>
      <c r="K274" s="269"/>
      <c r="L274" s="269"/>
      <c r="M274" s="319"/>
      <c r="N274" s="271"/>
      <c r="O274" s="272"/>
      <c r="P274" s="271"/>
      <c r="Q274" s="273"/>
      <c r="R274" s="271"/>
      <c r="S274" s="290">
        <f t="shared" si="59"/>
        <v>0</v>
      </c>
      <c r="T274" s="275"/>
      <c r="U274" s="307"/>
      <c r="V274" s="276"/>
    </row>
    <row r="275" spans="1:22" s="172" customFormat="1" ht="20.25" customHeight="1">
      <c r="A275" s="263" t="str">
        <f t="shared" si="54"/>
        <v/>
      </c>
      <c r="B275" s="263"/>
      <c r="C275" s="264">
        <f t="shared" si="87"/>
        <v>274</v>
      </c>
      <c r="D275" s="277" t="s">
        <v>1488</v>
      </c>
      <c r="E275" s="293"/>
      <c r="F275" s="267" t="s">
        <v>201</v>
      </c>
      <c r="G275" s="267"/>
      <c r="H275" s="308">
        <f>H273</f>
        <v>0</v>
      </c>
      <c r="I275" s="308"/>
      <c r="J275" s="308">
        <f>J270</f>
        <v>2500</v>
      </c>
      <c r="K275" s="308" t="str">
        <f>K270</f>
        <v>mm</v>
      </c>
      <c r="L275" s="367" t="str">
        <f>J275&amp;" "&amp;K275</f>
        <v>2500 mm</v>
      </c>
      <c r="M275" s="319">
        <v>1</v>
      </c>
      <c r="N275" s="271" t="s">
        <v>81</v>
      </c>
      <c r="O275" s="297">
        <f t="shared" ref="O275:O308" si="89">LEFT(L275,SEARCH(" ",L275,1)-1)*M275*0.001</f>
        <v>2.5</v>
      </c>
      <c r="P275" s="271" t="s">
        <v>139</v>
      </c>
      <c r="Q275" s="324" t="e">
        <f>VLOOKUP(H275,BM!$B$3:$Y$62,9,FALSE)</f>
        <v>#N/A</v>
      </c>
      <c r="R275" s="271" t="s">
        <v>112</v>
      </c>
      <c r="S275" s="290" t="e">
        <f t="shared" si="59"/>
        <v>#N/A</v>
      </c>
      <c r="T275" s="275">
        <v>1</v>
      </c>
      <c r="U275" s="290" t="e">
        <f t="shared" si="60"/>
        <v>#N/A</v>
      </c>
      <c r="V275" s="276" t="s">
        <v>48</v>
      </c>
    </row>
    <row r="276" spans="1:22" s="172" customFormat="1" ht="20.25" customHeight="1">
      <c r="A276" s="263" t="str">
        <f t="shared" si="54"/>
        <v/>
      </c>
      <c r="B276" s="263"/>
      <c r="C276" s="264">
        <f t="shared" si="87"/>
        <v>275</v>
      </c>
      <c r="D276" s="277" t="s">
        <v>1488</v>
      </c>
      <c r="E276" s="293">
        <f t="shared" si="61"/>
        <v>274</v>
      </c>
      <c r="F276" s="267" t="s">
        <v>201</v>
      </c>
      <c r="G276" s="267"/>
      <c r="H276" s="308">
        <f>H273</f>
        <v>0</v>
      </c>
      <c r="I276" s="308"/>
      <c r="J276" s="308">
        <f>J271</f>
        <v>2000</v>
      </c>
      <c r="K276" s="308" t="str">
        <f>K271</f>
        <v>mm</v>
      </c>
      <c r="L276" s="367" t="str">
        <f>J276&amp;" "&amp;K276</f>
        <v>2000 mm</v>
      </c>
      <c r="M276" s="319">
        <v>1</v>
      </c>
      <c r="N276" s="271" t="s">
        <v>81</v>
      </c>
      <c r="O276" s="297">
        <f t="shared" si="89"/>
        <v>2</v>
      </c>
      <c r="P276" s="271" t="s">
        <v>139</v>
      </c>
      <c r="Q276" s="324" t="e">
        <f>VLOOKUP(H276,BM!$B$3:$Y$62,9,FALSE)</f>
        <v>#N/A</v>
      </c>
      <c r="R276" s="271" t="s">
        <v>112</v>
      </c>
      <c r="S276" s="290" t="e">
        <f t="shared" si="59"/>
        <v>#N/A</v>
      </c>
      <c r="T276" s="275">
        <v>1</v>
      </c>
      <c r="U276" s="290" t="e">
        <f t="shared" si="60"/>
        <v>#N/A</v>
      </c>
      <c r="V276" s="276" t="s">
        <v>48</v>
      </c>
    </row>
    <row r="277" spans="1:22" s="172" customFormat="1" ht="20.25" customHeight="1">
      <c r="A277" s="263" t="str">
        <f t="shared" si="54"/>
        <v/>
      </c>
      <c r="B277" s="263"/>
      <c r="C277" s="264">
        <f t="shared" si="87"/>
        <v>276</v>
      </c>
      <c r="D277" s="277" t="s">
        <v>1488</v>
      </c>
      <c r="E277" s="293">
        <f t="shared" si="61"/>
        <v>275</v>
      </c>
      <c r="F277" s="267" t="s">
        <v>201</v>
      </c>
      <c r="G277" s="267"/>
      <c r="H277" s="308">
        <f>H273</f>
        <v>0</v>
      </c>
      <c r="I277" s="308"/>
      <c r="J277" s="308">
        <f>J272</f>
        <v>1000</v>
      </c>
      <c r="K277" s="308" t="str">
        <f>K272</f>
        <v>mm</v>
      </c>
      <c r="L277" s="367" t="str">
        <f>J277&amp;" "&amp;K277</f>
        <v>1000 mm</v>
      </c>
      <c r="M277" s="319">
        <v>1</v>
      </c>
      <c r="N277" s="271" t="s">
        <v>81</v>
      </c>
      <c r="O277" s="297">
        <f t="shared" si="89"/>
        <v>1</v>
      </c>
      <c r="P277" s="271" t="s">
        <v>139</v>
      </c>
      <c r="Q277" s="324" t="e">
        <f>VLOOKUP(H277,BM!$B$3:$Y$62,9,FALSE)</f>
        <v>#N/A</v>
      </c>
      <c r="R277" s="271" t="s">
        <v>112</v>
      </c>
      <c r="S277" s="290" t="e">
        <f t="shared" si="59"/>
        <v>#N/A</v>
      </c>
      <c r="T277" s="275">
        <v>1</v>
      </c>
      <c r="U277" s="290" t="e">
        <f t="shared" si="60"/>
        <v>#N/A</v>
      </c>
      <c r="V277" s="276" t="s">
        <v>48</v>
      </c>
    </row>
    <row r="278" spans="1:22" s="172" customFormat="1" ht="20.25" customHeight="1">
      <c r="A278" s="263" t="str">
        <f t="shared" si="54"/>
        <v/>
      </c>
      <c r="B278" s="263"/>
      <c r="C278" s="264">
        <f t="shared" si="87"/>
        <v>277</v>
      </c>
      <c r="D278" s="277" t="s">
        <v>1488</v>
      </c>
      <c r="E278" s="293">
        <f t="shared" si="61"/>
        <v>276</v>
      </c>
      <c r="F278" s="267" t="s">
        <v>201</v>
      </c>
      <c r="G278" s="267"/>
      <c r="H278" s="308">
        <f>H273</f>
        <v>0</v>
      </c>
      <c r="I278" s="308"/>
      <c r="J278" s="308">
        <f>J273</f>
        <v>0</v>
      </c>
      <c r="K278" s="308" t="str">
        <f>K273</f>
        <v>mm</v>
      </c>
      <c r="L278" s="367" t="str">
        <f>J278&amp;" "&amp;K278</f>
        <v>0 mm</v>
      </c>
      <c r="M278" s="319">
        <v>1</v>
      </c>
      <c r="N278" s="271" t="s">
        <v>81</v>
      </c>
      <c r="O278" s="297">
        <f t="shared" si="89"/>
        <v>0</v>
      </c>
      <c r="P278" s="271" t="s">
        <v>139</v>
      </c>
      <c r="Q278" s="324" t="e">
        <f>VLOOKUP(H278,BM!$B$3:$Y$62,9,FALSE)</f>
        <v>#N/A</v>
      </c>
      <c r="R278" s="271" t="s">
        <v>112</v>
      </c>
      <c r="S278" s="290" t="e">
        <f t="shared" si="59"/>
        <v>#N/A</v>
      </c>
      <c r="T278" s="275">
        <v>1</v>
      </c>
      <c r="U278" s="290" t="e">
        <f t="shared" si="60"/>
        <v>#N/A</v>
      </c>
      <c r="V278" s="276" t="s">
        <v>48</v>
      </c>
    </row>
    <row r="279" spans="1:22" s="172" customFormat="1" ht="20.25" customHeight="1">
      <c r="A279" s="263">
        <f t="shared" si="54"/>
        <v>278</v>
      </c>
      <c r="B279" s="263" t="s">
        <v>1263</v>
      </c>
      <c r="C279" s="264">
        <f t="shared" si="87"/>
        <v>278</v>
      </c>
      <c r="D279" s="265" t="s">
        <v>1489</v>
      </c>
      <c r="E279" s="279">
        <f>C274</f>
        <v>273</v>
      </c>
      <c r="F279" s="267"/>
      <c r="G279" s="267"/>
      <c r="H279" s="268"/>
      <c r="I279" s="268"/>
      <c r="J279" s="269"/>
      <c r="K279" s="269"/>
      <c r="L279" s="269"/>
      <c r="M279" s="319"/>
      <c r="N279" s="271"/>
      <c r="O279" s="272"/>
      <c r="P279" s="271"/>
      <c r="Q279" s="273"/>
      <c r="R279" s="271"/>
      <c r="S279" s="290">
        <f t="shared" si="59"/>
        <v>0</v>
      </c>
      <c r="T279" s="275"/>
      <c r="U279" s="307"/>
      <c r="V279" s="276"/>
    </row>
    <row r="280" spans="1:22" s="172" customFormat="1" ht="20.25" customHeight="1">
      <c r="A280" s="263" t="str">
        <f t="shared" si="54"/>
        <v/>
      </c>
      <c r="B280" s="263"/>
      <c r="C280" s="264">
        <f t="shared" si="87"/>
        <v>279</v>
      </c>
      <c r="D280" s="277" t="s">
        <v>1490</v>
      </c>
      <c r="E280" s="293"/>
      <c r="F280" s="267"/>
      <c r="G280" s="267"/>
      <c r="H280" s="308">
        <f>H278</f>
        <v>0</v>
      </c>
      <c r="I280" s="308"/>
      <c r="J280" s="308">
        <f>J275</f>
        <v>2500</v>
      </c>
      <c r="K280" s="308" t="str">
        <f>K275</f>
        <v>mm</v>
      </c>
      <c r="L280" s="367" t="str">
        <f>J280&amp;" "&amp;K280</f>
        <v>2500 mm</v>
      </c>
      <c r="M280" s="319">
        <v>1</v>
      </c>
      <c r="N280" s="271" t="s">
        <v>81</v>
      </c>
      <c r="O280" s="297">
        <f t="shared" si="89"/>
        <v>2.5</v>
      </c>
      <c r="P280" s="271" t="s">
        <v>139</v>
      </c>
      <c r="Q280" s="324" t="e">
        <f>VLOOKUP(H280,BM!$B$3:$Y$62,10,FALSE)</f>
        <v>#N/A</v>
      </c>
      <c r="R280" s="271" t="s">
        <v>112</v>
      </c>
      <c r="S280" s="290" t="e">
        <f t="shared" si="59"/>
        <v>#N/A</v>
      </c>
      <c r="T280" s="275">
        <v>1</v>
      </c>
      <c r="U280" s="290" t="e">
        <f t="shared" si="60"/>
        <v>#N/A</v>
      </c>
      <c r="V280" s="276" t="s">
        <v>48</v>
      </c>
    </row>
    <row r="281" spans="1:22" s="172" customFormat="1" ht="20.25" customHeight="1">
      <c r="A281" s="263" t="str">
        <f t="shared" si="54"/>
        <v/>
      </c>
      <c r="B281" s="263"/>
      <c r="C281" s="264">
        <f t="shared" si="87"/>
        <v>280</v>
      </c>
      <c r="D281" s="277" t="s">
        <v>1490</v>
      </c>
      <c r="E281" s="293">
        <f t="shared" si="61"/>
        <v>279</v>
      </c>
      <c r="F281" s="267" t="s">
        <v>299</v>
      </c>
      <c r="G281" s="267"/>
      <c r="H281" s="308">
        <f>H278</f>
        <v>0</v>
      </c>
      <c r="I281" s="308"/>
      <c r="J281" s="308">
        <f>J276</f>
        <v>2000</v>
      </c>
      <c r="K281" s="308" t="str">
        <f>K276</f>
        <v>mm</v>
      </c>
      <c r="L281" s="367" t="str">
        <f>J281&amp;" "&amp;K281</f>
        <v>2000 mm</v>
      </c>
      <c r="M281" s="319">
        <v>1</v>
      </c>
      <c r="N281" s="271" t="s">
        <v>81</v>
      </c>
      <c r="O281" s="297">
        <f t="shared" si="89"/>
        <v>2</v>
      </c>
      <c r="P281" s="271" t="s">
        <v>139</v>
      </c>
      <c r="Q281" s="324" t="e">
        <f>VLOOKUP(H281,BM!$B$3:$Y$62,10,FALSE)</f>
        <v>#N/A</v>
      </c>
      <c r="R281" s="271" t="s">
        <v>112</v>
      </c>
      <c r="S281" s="290" t="e">
        <f t="shared" si="59"/>
        <v>#N/A</v>
      </c>
      <c r="T281" s="275">
        <v>1</v>
      </c>
      <c r="U281" s="290" t="e">
        <f t="shared" si="60"/>
        <v>#N/A</v>
      </c>
      <c r="V281" s="276" t="s">
        <v>48</v>
      </c>
    </row>
    <row r="282" spans="1:22" s="172" customFormat="1" ht="20.25" customHeight="1">
      <c r="A282" s="263" t="str">
        <f t="shared" si="54"/>
        <v/>
      </c>
      <c r="B282" s="263"/>
      <c r="C282" s="264">
        <f t="shared" si="87"/>
        <v>281</v>
      </c>
      <c r="D282" s="277" t="s">
        <v>1490</v>
      </c>
      <c r="E282" s="293">
        <f t="shared" si="61"/>
        <v>280</v>
      </c>
      <c r="F282" s="267" t="s">
        <v>299</v>
      </c>
      <c r="G282" s="267"/>
      <c r="H282" s="308">
        <f>H278</f>
        <v>0</v>
      </c>
      <c r="I282" s="308"/>
      <c r="J282" s="308">
        <f>J277</f>
        <v>1000</v>
      </c>
      <c r="K282" s="308" t="str">
        <f>K277</f>
        <v>mm</v>
      </c>
      <c r="L282" s="367" t="str">
        <f>J282&amp;" "&amp;K282</f>
        <v>1000 mm</v>
      </c>
      <c r="M282" s="319">
        <v>1</v>
      </c>
      <c r="N282" s="271" t="s">
        <v>81</v>
      </c>
      <c r="O282" s="297">
        <f t="shared" si="89"/>
        <v>1</v>
      </c>
      <c r="P282" s="271" t="s">
        <v>139</v>
      </c>
      <c r="Q282" s="324" t="e">
        <f>VLOOKUP(H282,BM!$B$3:$Y$62,10,FALSE)</f>
        <v>#N/A</v>
      </c>
      <c r="R282" s="271" t="s">
        <v>112</v>
      </c>
      <c r="S282" s="290" t="e">
        <f t="shared" si="59"/>
        <v>#N/A</v>
      </c>
      <c r="T282" s="275">
        <v>1</v>
      </c>
      <c r="U282" s="290" t="e">
        <f t="shared" si="60"/>
        <v>#N/A</v>
      </c>
      <c r="V282" s="276" t="s">
        <v>48</v>
      </c>
    </row>
    <row r="283" spans="1:22" s="172" customFormat="1" ht="20.25" customHeight="1">
      <c r="A283" s="263" t="str">
        <f t="shared" si="54"/>
        <v/>
      </c>
      <c r="B283" s="263"/>
      <c r="C283" s="264">
        <f t="shared" si="87"/>
        <v>282</v>
      </c>
      <c r="D283" s="277" t="s">
        <v>1490</v>
      </c>
      <c r="E283" s="293">
        <f t="shared" si="61"/>
        <v>281</v>
      </c>
      <c r="F283" s="267" t="s">
        <v>299</v>
      </c>
      <c r="G283" s="267"/>
      <c r="H283" s="308">
        <f>H278</f>
        <v>0</v>
      </c>
      <c r="I283" s="308"/>
      <c r="J283" s="308">
        <f>J278</f>
        <v>0</v>
      </c>
      <c r="K283" s="308" t="str">
        <f>K278</f>
        <v>mm</v>
      </c>
      <c r="L283" s="367" t="str">
        <f>J283&amp;" "&amp;K283</f>
        <v>0 mm</v>
      </c>
      <c r="M283" s="319">
        <v>1</v>
      </c>
      <c r="N283" s="271" t="s">
        <v>81</v>
      </c>
      <c r="O283" s="297">
        <f t="shared" si="89"/>
        <v>0</v>
      </c>
      <c r="P283" s="271" t="s">
        <v>139</v>
      </c>
      <c r="Q283" s="324" t="e">
        <f>VLOOKUP(H283,BM!$B$3:$Y$62,10,FALSE)</f>
        <v>#N/A</v>
      </c>
      <c r="R283" s="271" t="s">
        <v>112</v>
      </c>
      <c r="S283" s="290" t="e">
        <f t="shared" si="59"/>
        <v>#N/A</v>
      </c>
      <c r="T283" s="275">
        <v>1</v>
      </c>
      <c r="U283" s="290" t="e">
        <f t="shared" si="60"/>
        <v>#N/A</v>
      </c>
      <c r="V283" s="276" t="s">
        <v>48</v>
      </c>
    </row>
    <row r="284" spans="1:22" s="172" customFormat="1" ht="20.25" customHeight="1">
      <c r="A284" s="263">
        <f t="shared" ref="A284:A347" si="90">IF(B284="Yes",C284,"")</f>
        <v>283</v>
      </c>
      <c r="B284" s="263" t="s">
        <v>1263</v>
      </c>
      <c r="C284" s="264">
        <f t="shared" si="87"/>
        <v>283</v>
      </c>
      <c r="D284" s="265" t="s">
        <v>1491</v>
      </c>
      <c r="E284" s="279">
        <f>C279</f>
        <v>278</v>
      </c>
      <c r="F284" s="267"/>
      <c r="G284" s="267"/>
      <c r="H284" s="268"/>
      <c r="I284" s="268"/>
      <c r="J284" s="269"/>
      <c r="K284" s="269"/>
      <c r="L284" s="269"/>
      <c r="M284" s="319"/>
      <c r="N284" s="271"/>
      <c r="O284" s="280"/>
      <c r="P284" s="271"/>
      <c r="Q284" s="281"/>
      <c r="R284" s="271"/>
      <c r="S284" s="312"/>
      <c r="T284" s="282"/>
      <c r="U284" s="312"/>
      <c r="V284" s="276"/>
    </row>
    <row r="285" spans="1:22" s="172" customFormat="1" ht="20.25" customHeight="1">
      <c r="A285" s="263" t="str">
        <f t="shared" si="90"/>
        <v/>
      </c>
      <c r="B285" s="263"/>
      <c r="C285" s="264">
        <f t="shared" si="87"/>
        <v>284</v>
      </c>
      <c r="D285" s="277" t="s">
        <v>1492</v>
      </c>
      <c r="E285" s="293"/>
      <c r="F285" s="267" t="s">
        <v>44</v>
      </c>
      <c r="G285" s="267"/>
      <c r="H285" s="308">
        <f>H283</f>
        <v>0</v>
      </c>
      <c r="I285" s="308"/>
      <c r="J285" s="308">
        <f>J280</f>
        <v>2500</v>
      </c>
      <c r="K285" s="308" t="str">
        <f>K280</f>
        <v>mm</v>
      </c>
      <c r="L285" s="367" t="str">
        <f>J285&amp;" "&amp;K285</f>
        <v>2500 mm</v>
      </c>
      <c r="M285" s="319">
        <v>1</v>
      </c>
      <c r="N285" s="271" t="s">
        <v>81</v>
      </c>
      <c r="O285" s="305">
        <v>1</v>
      </c>
      <c r="P285" s="296" t="s">
        <v>81</v>
      </c>
      <c r="Q285" s="324" t="e">
        <f>VLOOKUP(H285,BM!$B$3:$Y$62,11,FALSE)</f>
        <v>#N/A</v>
      </c>
      <c r="R285" s="271" t="s">
        <v>112</v>
      </c>
      <c r="S285" s="290" t="e">
        <f t="shared" ref="S285:S348" si="91">O285*Q285</f>
        <v>#N/A</v>
      </c>
      <c r="T285" s="275">
        <v>1</v>
      </c>
      <c r="U285" s="290" t="e">
        <f t="shared" si="60"/>
        <v>#N/A</v>
      </c>
      <c r="V285" s="276" t="s">
        <v>48</v>
      </c>
    </row>
    <row r="286" spans="1:22" s="172" customFormat="1" ht="20.25" customHeight="1">
      <c r="A286" s="263" t="str">
        <f t="shared" si="90"/>
        <v/>
      </c>
      <c r="B286" s="263"/>
      <c r="C286" s="264">
        <f t="shared" si="87"/>
        <v>285</v>
      </c>
      <c r="D286" s="277" t="s">
        <v>1492</v>
      </c>
      <c r="E286" s="293">
        <f t="shared" ref="E286:E349" si="92">C285</f>
        <v>284</v>
      </c>
      <c r="F286" s="267" t="s">
        <v>44</v>
      </c>
      <c r="G286" s="267"/>
      <c r="H286" s="308">
        <f>H283</f>
        <v>0</v>
      </c>
      <c r="I286" s="308"/>
      <c r="J286" s="308">
        <f>J281</f>
        <v>2000</v>
      </c>
      <c r="K286" s="308" t="str">
        <f>K281</f>
        <v>mm</v>
      </c>
      <c r="L286" s="367" t="str">
        <f>J286&amp;" "&amp;K286</f>
        <v>2000 mm</v>
      </c>
      <c r="M286" s="319">
        <v>1</v>
      </c>
      <c r="N286" s="271" t="s">
        <v>81</v>
      </c>
      <c r="O286" s="305">
        <v>1</v>
      </c>
      <c r="P286" s="296" t="s">
        <v>81</v>
      </c>
      <c r="Q286" s="324" t="e">
        <f>VLOOKUP(H286,BM!$B$3:$Y$62,11,FALSE)</f>
        <v>#N/A</v>
      </c>
      <c r="R286" s="271" t="s">
        <v>112</v>
      </c>
      <c r="S286" s="290" t="e">
        <f t="shared" si="91"/>
        <v>#N/A</v>
      </c>
      <c r="T286" s="275">
        <v>1</v>
      </c>
      <c r="U286" s="290" t="e">
        <f t="shared" ref="U286:U349" si="93">ROUND(S286+T286,2)</f>
        <v>#N/A</v>
      </c>
      <c r="V286" s="276" t="s">
        <v>48</v>
      </c>
    </row>
    <row r="287" spans="1:22" s="172" customFormat="1" ht="20.25" customHeight="1">
      <c r="A287" s="263" t="str">
        <f t="shared" si="90"/>
        <v/>
      </c>
      <c r="B287" s="263"/>
      <c r="C287" s="264">
        <f t="shared" si="87"/>
        <v>286</v>
      </c>
      <c r="D287" s="277" t="s">
        <v>1492</v>
      </c>
      <c r="E287" s="293">
        <f t="shared" si="92"/>
        <v>285</v>
      </c>
      <c r="F287" s="267" t="s">
        <v>44</v>
      </c>
      <c r="G287" s="267"/>
      <c r="H287" s="308">
        <f>H283</f>
        <v>0</v>
      </c>
      <c r="I287" s="308"/>
      <c r="J287" s="308">
        <f>J282</f>
        <v>1000</v>
      </c>
      <c r="K287" s="308" t="str">
        <f>K282</f>
        <v>mm</v>
      </c>
      <c r="L287" s="367" t="str">
        <f>J287&amp;" "&amp;K287</f>
        <v>1000 mm</v>
      </c>
      <c r="M287" s="319">
        <v>1</v>
      </c>
      <c r="N287" s="271" t="s">
        <v>81</v>
      </c>
      <c r="O287" s="305">
        <v>1</v>
      </c>
      <c r="P287" s="296" t="s">
        <v>81</v>
      </c>
      <c r="Q287" s="324" t="e">
        <f>VLOOKUP(H287,BM!$B$3:$Y$62,11,FALSE)</f>
        <v>#N/A</v>
      </c>
      <c r="R287" s="271" t="s">
        <v>112</v>
      </c>
      <c r="S287" s="290" t="e">
        <f t="shared" si="91"/>
        <v>#N/A</v>
      </c>
      <c r="T287" s="275">
        <v>1</v>
      </c>
      <c r="U287" s="290" t="e">
        <f t="shared" si="93"/>
        <v>#N/A</v>
      </c>
      <c r="V287" s="276" t="s">
        <v>48</v>
      </c>
    </row>
    <row r="288" spans="1:22" s="172" customFormat="1" ht="20.25" customHeight="1">
      <c r="A288" s="263" t="str">
        <f t="shared" si="90"/>
        <v/>
      </c>
      <c r="B288" s="263"/>
      <c r="C288" s="264">
        <f t="shared" si="87"/>
        <v>287</v>
      </c>
      <c r="D288" s="277" t="s">
        <v>1492</v>
      </c>
      <c r="E288" s="293">
        <f t="shared" si="92"/>
        <v>286</v>
      </c>
      <c r="F288" s="267" t="s">
        <v>44</v>
      </c>
      <c r="G288" s="267"/>
      <c r="H288" s="308">
        <f>H283</f>
        <v>0</v>
      </c>
      <c r="I288" s="308"/>
      <c r="J288" s="308">
        <f>J283</f>
        <v>0</v>
      </c>
      <c r="K288" s="308" t="str">
        <f>K283</f>
        <v>mm</v>
      </c>
      <c r="L288" s="367" t="str">
        <f>J288&amp;" "&amp;K288</f>
        <v>0 mm</v>
      </c>
      <c r="M288" s="319">
        <v>1</v>
      </c>
      <c r="N288" s="271" t="s">
        <v>81</v>
      </c>
      <c r="O288" s="305">
        <v>1</v>
      </c>
      <c r="P288" s="296" t="s">
        <v>81</v>
      </c>
      <c r="Q288" s="324" t="e">
        <f>VLOOKUP(H288,BM!$B$3:$Y$62,11,FALSE)</f>
        <v>#N/A</v>
      </c>
      <c r="R288" s="271" t="s">
        <v>112</v>
      </c>
      <c r="S288" s="290" t="e">
        <f t="shared" si="91"/>
        <v>#N/A</v>
      </c>
      <c r="T288" s="275">
        <v>1</v>
      </c>
      <c r="U288" s="290" t="e">
        <f t="shared" si="93"/>
        <v>#N/A</v>
      </c>
      <c r="V288" s="276" t="s">
        <v>48</v>
      </c>
    </row>
    <row r="289" spans="1:22" s="172" customFormat="1" ht="20.25" customHeight="1">
      <c r="A289" s="263">
        <f t="shared" si="90"/>
        <v>288</v>
      </c>
      <c r="B289" s="263" t="s">
        <v>1263</v>
      </c>
      <c r="C289" s="264">
        <f t="shared" si="87"/>
        <v>288</v>
      </c>
      <c r="D289" s="265" t="s">
        <v>1493</v>
      </c>
      <c r="E289" s="279">
        <f>C284</f>
        <v>283</v>
      </c>
      <c r="F289" s="267"/>
      <c r="G289" s="267"/>
      <c r="H289" s="268"/>
      <c r="I289" s="268"/>
      <c r="J289" s="269"/>
      <c r="K289" s="269"/>
      <c r="L289" s="269"/>
      <c r="M289" s="319"/>
      <c r="N289" s="271"/>
      <c r="O289" s="280"/>
      <c r="P289" s="271"/>
      <c r="Q289" s="281"/>
      <c r="R289" s="271"/>
      <c r="S289" s="312"/>
      <c r="T289" s="282"/>
      <c r="U289" s="312"/>
      <c r="V289" s="276"/>
    </row>
    <row r="290" spans="1:22" s="172" customFormat="1" ht="20.25" customHeight="1">
      <c r="A290" s="263" t="str">
        <f t="shared" si="90"/>
        <v/>
      </c>
      <c r="B290" s="263"/>
      <c r="C290" s="264">
        <f t="shared" si="87"/>
        <v>289</v>
      </c>
      <c r="D290" s="277" t="s">
        <v>1494</v>
      </c>
      <c r="E290" s="293"/>
      <c r="F290" s="267" t="s">
        <v>115</v>
      </c>
      <c r="G290" s="267"/>
      <c r="H290" s="316">
        <v>12</v>
      </c>
      <c r="I290" s="316"/>
      <c r="J290" s="308">
        <f>J285</f>
        <v>2500</v>
      </c>
      <c r="K290" s="308" t="str">
        <f>K285</f>
        <v>mm</v>
      </c>
      <c r="L290" s="367" t="str">
        <f>J290&amp;" "&amp;K290</f>
        <v>2500 mm</v>
      </c>
      <c r="M290" s="319">
        <v>1</v>
      </c>
      <c r="N290" s="271" t="s">
        <v>81</v>
      </c>
      <c r="O290" s="297">
        <f t="shared" si="89"/>
        <v>2.5</v>
      </c>
      <c r="P290" s="271" t="s">
        <v>139</v>
      </c>
      <c r="Q290" s="324">
        <f>VLOOKUP(H290,BM!$B$3:$Y$62,12,FALSE)</f>
        <v>2.5</v>
      </c>
      <c r="R290" s="271" t="s">
        <v>112</v>
      </c>
      <c r="S290" s="290">
        <f t="shared" si="91"/>
        <v>6.25</v>
      </c>
      <c r="T290" s="275">
        <v>1</v>
      </c>
      <c r="U290" s="290">
        <f t="shared" si="93"/>
        <v>7.25</v>
      </c>
      <c r="V290" s="276" t="s">
        <v>48</v>
      </c>
    </row>
    <row r="291" spans="1:22" s="172" customFormat="1" ht="20.25" customHeight="1">
      <c r="A291" s="263" t="str">
        <f t="shared" si="90"/>
        <v/>
      </c>
      <c r="B291" s="263"/>
      <c r="C291" s="264">
        <f t="shared" si="87"/>
        <v>290</v>
      </c>
      <c r="D291" s="277" t="s">
        <v>1494</v>
      </c>
      <c r="E291" s="293">
        <f t="shared" si="92"/>
        <v>289</v>
      </c>
      <c r="F291" s="267" t="s">
        <v>115</v>
      </c>
      <c r="G291" s="267"/>
      <c r="H291" s="308">
        <f>H290</f>
        <v>12</v>
      </c>
      <c r="I291" s="308"/>
      <c r="J291" s="308">
        <f>J286</f>
        <v>2000</v>
      </c>
      <c r="K291" s="308" t="str">
        <f>K286</f>
        <v>mm</v>
      </c>
      <c r="L291" s="367" t="str">
        <f>J291&amp;" "&amp;K291</f>
        <v>2000 mm</v>
      </c>
      <c r="M291" s="319">
        <v>1</v>
      </c>
      <c r="N291" s="271" t="s">
        <v>81</v>
      </c>
      <c r="O291" s="297">
        <f t="shared" si="89"/>
        <v>2</v>
      </c>
      <c r="P291" s="271" t="s">
        <v>139</v>
      </c>
      <c r="Q291" s="324">
        <f>VLOOKUP(H291,BM!$B$3:$Y$62,12,FALSE)</f>
        <v>2.5</v>
      </c>
      <c r="R291" s="271" t="s">
        <v>112</v>
      </c>
      <c r="S291" s="290">
        <f t="shared" si="91"/>
        <v>5</v>
      </c>
      <c r="T291" s="275">
        <v>1</v>
      </c>
      <c r="U291" s="290">
        <f t="shared" si="93"/>
        <v>6</v>
      </c>
      <c r="V291" s="276" t="s">
        <v>48</v>
      </c>
    </row>
    <row r="292" spans="1:22" s="172" customFormat="1" ht="20.25" customHeight="1">
      <c r="A292" s="263" t="str">
        <f t="shared" si="90"/>
        <v/>
      </c>
      <c r="B292" s="263"/>
      <c r="C292" s="264">
        <f t="shared" si="87"/>
        <v>291</v>
      </c>
      <c r="D292" s="277" t="s">
        <v>1494</v>
      </c>
      <c r="E292" s="293">
        <f t="shared" si="92"/>
        <v>290</v>
      </c>
      <c r="F292" s="267" t="s">
        <v>115</v>
      </c>
      <c r="G292" s="267"/>
      <c r="H292" s="308">
        <f>H291</f>
        <v>12</v>
      </c>
      <c r="I292" s="308"/>
      <c r="J292" s="308">
        <f>J287</f>
        <v>1000</v>
      </c>
      <c r="K292" s="308" t="str">
        <f>K287</f>
        <v>mm</v>
      </c>
      <c r="L292" s="367" t="str">
        <f>J292&amp;" "&amp;K292</f>
        <v>1000 mm</v>
      </c>
      <c r="M292" s="319">
        <v>1</v>
      </c>
      <c r="N292" s="271" t="s">
        <v>81</v>
      </c>
      <c r="O292" s="297">
        <f t="shared" si="89"/>
        <v>1</v>
      </c>
      <c r="P292" s="271" t="s">
        <v>139</v>
      </c>
      <c r="Q292" s="324">
        <f>VLOOKUP(H292,BM!$B$3:$Y$62,12,FALSE)</f>
        <v>2.5</v>
      </c>
      <c r="R292" s="271" t="s">
        <v>112</v>
      </c>
      <c r="S292" s="290">
        <f t="shared" si="91"/>
        <v>2.5</v>
      </c>
      <c r="T292" s="275">
        <v>1</v>
      </c>
      <c r="U292" s="290">
        <f t="shared" si="93"/>
        <v>3.5</v>
      </c>
      <c r="V292" s="276" t="s">
        <v>48</v>
      </c>
    </row>
    <row r="293" spans="1:22" s="172" customFormat="1" ht="20.25" customHeight="1">
      <c r="A293" s="263" t="str">
        <f t="shared" si="90"/>
        <v/>
      </c>
      <c r="B293" s="263"/>
      <c r="C293" s="264">
        <f t="shared" si="87"/>
        <v>292</v>
      </c>
      <c r="D293" s="277" t="s">
        <v>1494</v>
      </c>
      <c r="E293" s="293">
        <f t="shared" si="92"/>
        <v>291</v>
      </c>
      <c r="F293" s="267" t="s">
        <v>115</v>
      </c>
      <c r="G293" s="267"/>
      <c r="H293" s="308">
        <f>H292</f>
        <v>12</v>
      </c>
      <c r="I293" s="308"/>
      <c r="J293" s="308">
        <f>J288</f>
        <v>0</v>
      </c>
      <c r="K293" s="308" t="str">
        <f>K288</f>
        <v>mm</v>
      </c>
      <c r="L293" s="367" t="str">
        <f>J293&amp;" "&amp;K293</f>
        <v>0 mm</v>
      </c>
      <c r="M293" s="319">
        <v>1</v>
      </c>
      <c r="N293" s="271" t="s">
        <v>81</v>
      </c>
      <c r="O293" s="297">
        <f t="shared" si="89"/>
        <v>0</v>
      </c>
      <c r="P293" s="271" t="s">
        <v>139</v>
      </c>
      <c r="Q293" s="324">
        <f>VLOOKUP(H293,BM!$B$3:$Y$62,12,FALSE)</f>
        <v>2.5</v>
      </c>
      <c r="R293" s="271" t="s">
        <v>112</v>
      </c>
      <c r="S293" s="290">
        <f t="shared" si="91"/>
        <v>0</v>
      </c>
      <c r="T293" s="275">
        <v>1</v>
      </c>
      <c r="U293" s="290">
        <f t="shared" si="93"/>
        <v>1</v>
      </c>
      <c r="V293" s="276" t="s">
        <v>48</v>
      </c>
    </row>
    <row r="294" spans="1:22" s="172" customFormat="1" ht="20.25" customHeight="1">
      <c r="A294" s="263">
        <f t="shared" si="90"/>
        <v>293</v>
      </c>
      <c r="B294" s="263" t="s">
        <v>1263</v>
      </c>
      <c r="C294" s="264">
        <f t="shared" si="87"/>
        <v>293</v>
      </c>
      <c r="D294" s="265" t="s">
        <v>1495</v>
      </c>
      <c r="E294" s="279">
        <f>C289</f>
        <v>288</v>
      </c>
      <c r="F294" s="267"/>
      <c r="G294" s="267"/>
      <c r="H294" s="268"/>
      <c r="I294" s="268"/>
      <c r="J294" s="269"/>
      <c r="K294" s="269"/>
      <c r="L294" s="269"/>
      <c r="M294" s="319"/>
      <c r="N294" s="271"/>
      <c r="O294" s="280"/>
      <c r="P294" s="271"/>
      <c r="Q294" s="281"/>
      <c r="R294" s="271"/>
      <c r="S294" s="312"/>
      <c r="T294" s="282"/>
      <c r="U294" s="312"/>
      <c r="V294" s="276"/>
    </row>
    <row r="295" spans="1:22" s="172" customFormat="1" ht="20.25" customHeight="1">
      <c r="A295" s="263" t="str">
        <f t="shared" si="90"/>
        <v/>
      </c>
      <c r="B295" s="263"/>
      <c r="C295" s="264">
        <f t="shared" si="87"/>
        <v>294</v>
      </c>
      <c r="D295" s="277" t="s">
        <v>1496</v>
      </c>
      <c r="E295" s="293"/>
      <c r="F295" s="267" t="s">
        <v>61</v>
      </c>
      <c r="G295" s="267"/>
      <c r="H295" s="316">
        <v>18</v>
      </c>
      <c r="I295" s="316"/>
      <c r="J295" s="308">
        <f>J290</f>
        <v>2500</v>
      </c>
      <c r="K295" s="308" t="str">
        <f>K290</f>
        <v>mm</v>
      </c>
      <c r="L295" s="367" t="str">
        <f>J295&amp;" "&amp;K295</f>
        <v>2500 mm</v>
      </c>
      <c r="M295" s="319">
        <v>1</v>
      </c>
      <c r="N295" s="271" t="s">
        <v>81</v>
      </c>
      <c r="O295" s="297">
        <f t="shared" si="89"/>
        <v>2.5</v>
      </c>
      <c r="P295" s="271" t="s">
        <v>139</v>
      </c>
      <c r="Q295" s="324">
        <f>VLOOKUP(H295,BM!$B$3:$Y$62,18,FALSE)</f>
        <v>1</v>
      </c>
      <c r="R295" s="271" t="s">
        <v>112</v>
      </c>
      <c r="S295" s="290">
        <f t="shared" si="91"/>
        <v>2.5</v>
      </c>
      <c r="T295" s="275">
        <v>1</v>
      </c>
      <c r="U295" s="290">
        <f t="shared" si="93"/>
        <v>3.5</v>
      </c>
      <c r="V295" s="276" t="s">
        <v>48</v>
      </c>
    </row>
    <row r="296" spans="1:22" s="172" customFormat="1" ht="20.25" customHeight="1">
      <c r="A296" s="263" t="str">
        <f t="shared" si="90"/>
        <v/>
      </c>
      <c r="B296" s="263"/>
      <c r="C296" s="264">
        <f t="shared" si="87"/>
        <v>295</v>
      </c>
      <c r="D296" s="277" t="s">
        <v>1496</v>
      </c>
      <c r="E296" s="293">
        <f t="shared" si="92"/>
        <v>294</v>
      </c>
      <c r="F296" s="267" t="s">
        <v>61</v>
      </c>
      <c r="G296" s="267"/>
      <c r="H296" s="316">
        <v>18</v>
      </c>
      <c r="I296" s="316"/>
      <c r="J296" s="308">
        <f>J291</f>
        <v>2000</v>
      </c>
      <c r="K296" s="308" t="str">
        <f>K291</f>
        <v>mm</v>
      </c>
      <c r="L296" s="367" t="str">
        <f>J296&amp;" "&amp;K296</f>
        <v>2000 mm</v>
      </c>
      <c r="M296" s="319">
        <v>1</v>
      </c>
      <c r="N296" s="271" t="s">
        <v>81</v>
      </c>
      <c r="O296" s="297">
        <f t="shared" si="89"/>
        <v>2</v>
      </c>
      <c r="P296" s="271" t="s">
        <v>139</v>
      </c>
      <c r="Q296" s="324">
        <f>VLOOKUP(H296,BM!$B$3:$Y$62,18,FALSE)</f>
        <v>1</v>
      </c>
      <c r="R296" s="271" t="s">
        <v>112</v>
      </c>
      <c r="S296" s="290">
        <f t="shared" si="91"/>
        <v>2</v>
      </c>
      <c r="T296" s="275">
        <v>1</v>
      </c>
      <c r="U296" s="290">
        <f t="shared" si="93"/>
        <v>3</v>
      </c>
      <c r="V296" s="276" t="s">
        <v>48</v>
      </c>
    </row>
    <row r="297" spans="1:22" s="172" customFormat="1" ht="20.25" customHeight="1">
      <c r="A297" s="263" t="str">
        <f t="shared" si="90"/>
        <v/>
      </c>
      <c r="B297" s="263"/>
      <c r="C297" s="264">
        <f t="shared" si="87"/>
        <v>296</v>
      </c>
      <c r="D297" s="277" t="s">
        <v>1496</v>
      </c>
      <c r="E297" s="293">
        <f t="shared" si="92"/>
        <v>295</v>
      </c>
      <c r="F297" s="267" t="s">
        <v>61</v>
      </c>
      <c r="G297" s="267"/>
      <c r="H297" s="316">
        <v>18</v>
      </c>
      <c r="I297" s="316"/>
      <c r="J297" s="308">
        <f>J292</f>
        <v>1000</v>
      </c>
      <c r="K297" s="308" t="str">
        <f>K292</f>
        <v>mm</v>
      </c>
      <c r="L297" s="367" t="str">
        <f>J297&amp;" "&amp;K297</f>
        <v>1000 mm</v>
      </c>
      <c r="M297" s="319">
        <v>1</v>
      </c>
      <c r="N297" s="271" t="s">
        <v>81</v>
      </c>
      <c r="O297" s="297">
        <f t="shared" si="89"/>
        <v>1</v>
      </c>
      <c r="P297" s="271" t="s">
        <v>139</v>
      </c>
      <c r="Q297" s="324">
        <f>VLOOKUP(H297,BM!$B$3:$Y$62,18,FALSE)</f>
        <v>1</v>
      </c>
      <c r="R297" s="271" t="s">
        <v>112</v>
      </c>
      <c r="S297" s="290">
        <f t="shared" si="91"/>
        <v>1</v>
      </c>
      <c r="T297" s="275">
        <v>1</v>
      </c>
      <c r="U297" s="290">
        <f t="shared" si="93"/>
        <v>2</v>
      </c>
      <c r="V297" s="276" t="s">
        <v>48</v>
      </c>
    </row>
    <row r="298" spans="1:22" s="172" customFormat="1" ht="20.25" customHeight="1">
      <c r="A298" s="263" t="str">
        <f t="shared" si="90"/>
        <v/>
      </c>
      <c r="B298" s="263"/>
      <c r="C298" s="264">
        <f t="shared" si="87"/>
        <v>297</v>
      </c>
      <c r="D298" s="277" t="s">
        <v>1496</v>
      </c>
      <c r="E298" s="293">
        <f t="shared" si="92"/>
        <v>296</v>
      </c>
      <c r="F298" s="267" t="s">
        <v>61</v>
      </c>
      <c r="G298" s="267"/>
      <c r="H298" s="316">
        <v>18</v>
      </c>
      <c r="I298" s="316"/>
      <c r="J298" s="308">
        <f>J293</f>
        <v>0</v>
      </c>
      <c r="K298" s="308" t="str">
        <f>K293</f>
        <v>mm</v>
      </c>
      <c r="L298" s="367" t="str">
        <f>J298&amp;" "&amp;K298</f>
        <v>0 mm</v>
      </c>
      <c r="M298" s="319">
        <v>1</v>
      </c>
      <c r="N298" s="271" t="s">
        <v>81</v>
      </c>
      <c r="O298" s="297">
        <f t="shared" si="89"/>
        <v>0</v>
      </c>
      <c r="P298" s="271" t="s">
        <v>139</v>
      </c>
      <c r="Q298" s="324">
        <f>VLOOKUP(H298,BM!$B$3:$Y$62,18,FALSE)</f>
        <v>1</v>
      </c>
      <c r="R298" s="271" t="s">
        <v>112</v>
      </c>
      <c r="S298" s="290">
        <f t="shared" si="91"/>
        <v>0</v>
      </c>
      <c r="T298" s="275">
        <v>1</v>
      </c>
      <c r="U298" s="290">
        <f t="shared" si="93"/>
        <v>1</v>
      </c>
      <c r="V298" s="276" t="s">
        <v>48</v>
      </c>
    </row>
    <row r="299" spans="1:22" s="172" customFormat="1" ht="20.25" customHeight="1">
      <c r="A299" s="263">
        <f t="shared" si="90"/>
        <v>298</v>
      </c>
      <c r="B299" s="263" t="s">
        <v>1263</v>
      </c>
      <c r="C299" s="264">
        <f t="shared" si="87"/>
        <v>298</v>
      </c>
      <c r="D299" s="265" t="s">
        <v>1497</v>
      </c>
      <c r="E299" s="279">
        <f>C294</f>
        <v>293</v>
      </c>
      <c r="F299" s="267"/>
      <c r="G299" s="267"/>
      <c r="H299" s="268"/>
      <c r="I299" s="268"/>
      <c r="J299" s="269"/>
      <c r="K299" s="269"/>
      <c r="L299" s="269"/>
      <c r="M299" s="319"/>
      <c r="N299" s="271"/>
      <c r="O299" s="280"/>
      <c r="P299" s="271"/>
      <c r="Q299" s="281"/>
      <c r="R299" s="271"/>
      <c r="S299" s="312"/>
      <c r="T299" s="282"/>
      <c r="U299" s="312"/>
      <c r="V299" s="276"/>
    </row>
    <row r="300" spans="1:22" s="172" customFormat="1" ht="20.25" customHeight="1">
      <c r="A300" s="263" t="str">
        <f t="shared" si="90"/>
        <v/>
      </c>
      <c r="B300" s="263"/>
      <c r="C300" s="264">
        <f t="shared" si="87"/>
        <v>299</v>
      </c>
      <c r="D300" s="277" t="s">
        <v>1498</v>
      </c>
      <c r="E300" s="293"/>
      <c r="F300" s="267" t="s">
        <v>115</v>
      </c>
      <c r="G300" s="267"/>
      <c r="H300" s="316">
        <v>6</v>
      </c>
      <c r="I300" s="316"/>
      <c r="J300" s="308">
        <f>J295</f>
        <v>2500</v>
      </c>
      <c r="K300" s="308" t="str">
        <f>K295</f>
        <v>mm</v>
      </c>
      <c r="L300" s="367" t="str">
        <f>J300&amp;" "&amp;K300</f>
        <v>2500 mm</v>
      </c>
      <c r="M300" s="319">
        <v>1</v>
      </c>
      <c r="N300" s="271" t="s">
        <v>81</v>
      </c>
      <c r="O300" s="297">
        <f t="shared" si="89"/>
        <v>2.5</v>
      </c>
      <c r="P300" s="271" t="s">
        <v>139</v>
      </c>
      <c r="Q300" s="324">
        <f>VLOOKUP(H300,BM!$B$3:$Y$62,12,FALSE)</f>
        <v>0.9</v>
      </c>
      <c r="R300" s="271" t="s">
        <v>112</v>
      </c>
      <c r="S300" s="290">
        <f t="shared" si="91"/>
        <v>2.25</v>
      </c>
      <c r="T300" s="275">
        <v>1</v>
      </c>
      <c r="U300" s="290">
        <f t="shared" si="93"/>
        <v>3.25</v>
      </c>
      <c r="V300" s="276" t="s">
        <v>48</v>
      </c>
    </row>
    <row r="301" spans="1:22" s="172" customFormat="1" ht="20.25" customHeight="1">
      <c r="A301" s="263" t="str">
        <f t="shared" si="90"/>
        <v/>
      </c>
      <c r="B301" s="263"/>
      <c r="C301" s="264">
        <f t="shared" si="87"/>
        <v>300</v>
      </c>
      <c r="D301" s="277" t="s">
        <v>1498</v>
      </c>
      <c r="E301" s="293">
        <f t="shared" si="92"/>
        <v>299</v>
      </c>
      <c r="F301" s="267" t="s">
        <v>115</v>
      </c>
      <c r="G301" s="267"/>
      <c r="H301" s="308">
        <f>H300</f>
        <v>6</v>
      </c>
      <c r="I301" s="308"/>
      <c r="J301" s="308">
        <f>J296</f>
        <v>2000</v>
      </c>
      <c r="K301" s="308" t="str">
        <f>K296</f>
        <v>mm</v>
      </c>
      <c r="L301" s="367" t="str">
        <f>J301&amp;" "&amp;K301</f>
        <v>2000 mm</v>
      </c>
      <c r="M301" s="319">
        <v>1</v>
      </c>
      <c r="N301" s="271" t="s">
        <v>81</v>
      </c>
      <c r="O301" s="297">
        <f t="shared" si="89"/>
        <v>2</v>
      </c>
      <c r="P301" s="271" t="s">
        <v>139</v>
      </c>
      <c r="Q301" s="324">
        <f>VLOOKUP(H301,BM!$B$3:$Y$62,12,FALSE)</f>
        <v>0.9</v>
      </c>
      <c r="R301" s="271" t="s">
        <v>112</v>
      </c>
      <c r="S301" s="290">
        <f t="shared" si="91"/>
        <v>1.8</v>
      </c>
      <c r="T301" s="275">
        <v>1</v>
      </c>
      <c r="U301" s="290">
        <f t="shared" si="93"/>
        <v>2.8</v>
      </c>
      <c r="V301" s="276" t="s">
        <v>48</v>
      </c>
    </row>
    <row r="302" spans="1:22" s="172" customFormat="1" ht="20.25" customHeight="1">
      <c r="A302" s="263" t="str">
        <f t="shared" si="90"/>
        <v/>
      </c>
      <c r="B302" s="263"/>
      <c r="C302" s="264">
        <f t="shared" si="87"/>
        <v>301</v>
      </c>
      <c r="D302" s="277" t="s">
        <v>1498</v>
      </c>
      <c r="E302" s="293">
        <f t="shared" si="92"/>
        <v>300</v>
      </c>
      <c r="F302" s="267" t="s">
        <v>115</v>
      </c>
      <c r="G302" s="267"/>
      <c r="H302" s="308">
        <f>H301</f>
        <v>6</v>
      </c>
      <c r="I302" s="308"/>
      <c r="J302" s="308">
        <f>J297</f>
        <v>1000</v>
      </c>
      <c r="K302" s="308" t="str">
        <f>K297</f>
        <v>mm</v>
      </c>
      <c r="L302" s="367" t="str">
        <f>J302&amp;" "&amp;K302</f>
        <v>1000 mm</v>
      </c>
      <c r="M302" s="319">
        <v>1</v>
      </c>
      <c r="N302" s="271" t="s">
        <v>81</v>
      </c>
      <c r="O302" s="297">
        <f t="shared" si="89"/>
        <v>1</v>
      </c>
      <c r="P302" s="271" t="s">
        <v>139</v>
      </c>
      <c r="Q302" s="324">
        <f>VLOOKUP(H302,BM!$B$3:$Y$62,12,FALSE)</f>
        <v>0.9</v>
      </c>
      <c r="R302" s="271" t="s">
        <v>112</v>
      </c>
      <c r="S302" s="290">
        <f t="shared" si="91"/>
        <v>0.9</v>
      </c>
      <c r="T302" s="275">
        <v>1</v>
      </c>
      <c r="U302" s="290">
        <f t="shared" si="93"/>
        <v>1.9</v>
      </c>
      <c r="V302" s="276" t="s">
        <v>48</v>
      </c>
    </row>
    <row r="303" spans="1:22" s="172" customFormat="1" ht="20.25" customHeight="1">
      <c r="A303" s="263" t="str">
        <f t="shared" si="90"/>
        <v/>
      </c>
      <c r="B303" s="263"/>
      <c r="C303" s="264">
        <f t="shared" si="87"/>
        <v>302</v>
      </c>
      <c r="D303" s="277" t="s">
        <v>1498</v>
      </c>
      <c r="E303" s="293">
        <f t="shared" si="92"/>
        <v>301</v>
      </c>
      <c r="F303" s="267" t="s">
        <v>115</v>
      </c>
      <c r="G303" s="267"/>
      <c r="H303" s="308">
        <f>H302</f>
        <v>6</v>
      </c>
      <c r="I303" s="308"/>
      <c r="J303" s="308">
        <f>J298</f>
        <v>0</v>
      </c>
      <c r="K303" s="308" t="str">
        <f>K298</f>
        <v>mm</v>
      </c>
      <c r="L303" s="367" t="str">
        <f>J303&amp;" "&amp;K303</f>
        <v>0 mm</v>
      </c>
      <c r="M303" s="319">
        <v>1</v>
      </c>
      <c r="N303" s="271" t="s">
        <v>81</v>
      </c>
      <c r="O303" s="297">
        <f t="shared" si="89"/>
        <v>0</v>
      </c>
      <c r="P303" s="271" t="s">
        <v>139</v>
      </c>
      <c r="Q303" s="324">
        <f>VLOOKUP(H303,BM!$B$3:$Y$62,12,FALSE)</f>
        <v>0.9</v>
      </c>
      <c r="R303" s="271" t="s">
        <v>112</v>
      </c>
      <c r="S303" s="290">
        <f t="shared" si="91"/>
        <v>0</v>
      </c>
      <c r="T303" s="275">
        <v>1</v>
      </c>
      <c r="U303" s="290">
        <f t="shared" si="93"/>
        <v>1</v>
      </c>
      <c r="V303" s="276" t="s">
        <v>48</v>
      </c>
    </row>
    <row r="304" spans="1:22" s="172" customFormat="1" ht="20.25" customHeight="1">
      <c r="A304" s="263">
        <f t="shared" si="90"/>
        <v>303</v>
      </c>
      <c r="B304" s="263" t="s">
        <v>1263</v>
      </c>
      <c r="C304" s="264">
        <f t="shared" si="87"/>
        <v>303</v>
      </c>
      <c r="D304" s="265" t="s">
        <v>1499</v>
      </c>
      <c r="E304" s="279">
        <f>C299</f>
        <v>298</v>
      </c>
      <c r="F304" s="267"/>
      <c r="G304" s="267"/>
      <c r="H304" s="268"/>
      <c r="I304" s="268"/>
      <c r="J304" s="269"/>
      <c r="K304" s="269"/>
      <c r="L304" s="269"/>
      <c r="M304" s="319"/>
      <c r="N304" s="271"/>
      <c r="O304" s="280"/>
      <c r="P304" s="271"/>
      <c r="Q304" s="281"/>
      <c r="R304" s="271"/>
      <c r="S304" s="312"/>
      <c r="T304" s="282"/>
      <c r="U304" s="312"/>
      <c r="V304" s="276"/>
    </row>
    <row r="305" spans="1:22" s="172" customFormat="1" ht="20.25" customHeight="1">
      <c r="A305" s="263" t="str">
        <f t="shared" si="90"/>
        <v/>
      </c>
      <c r="B305" s="263"/>
      <c r="C305" s="264">
        <f t="shared" si="87"/>
        <v>304</v>
      </c>
      <c r="D305" s="277" t="s">
        <v>1500</v>
      </c>
      <c r="E305" s="293"/>
      <c r="F305" s="267" t="s">
        <v>61</v>
      </c>
      <c r="G305" s="267"/>
      <c r="H305" s="308">
        <f>H295</f>
        <v>18</v>
      </c>
      <c r="I305" s="308"/>
      <c r="J305" s="308">
        <f>J300</f>
        <v>2500</v>
      </c>
      <c r="K305" s="308" t="str">
        <f>K300</f>
        <v>mm</v>
      </c>
      <c r="L305" s="367" t="str">
        <f>J305&amp;" "&amp;K305</f>
        <v>2500 mm</v>
      </c>
      <c r="M305" s="319">
        <v>1</v>
      </c>
      <c r="N305" s="271" t="s">
        <v>81</v>
      </c>
      <c r="O305" s="297">
        <f t="shared" si="89"/>
        <v>2.5</v>
      </c>
      <c r="P305" s="271" t="s">
        <v>139</v>
      </c>
      <c r="Q305" s="324">
        <f>VLOOKUP(H305,BM!$B$3:$Y$62,20,FALSE)</f>
        <v>0.5</v>
      </c>
      <c r="R305" s="271" t="s">
        <v>112</v>
      </c>
      <c r="S305" s="290">
        <f t="shared" si="91"/>
        <v>1.25</v>
      </c>
      <c r="T305" s="275">
        <v>1</v>
      </c>
      <c r="U305" s="290">
        <f t="shared" si="93"/>
        <v>2.25</v>
      </c>
      <c r="V305" s="276" t="s">
        <v>48</v>
      </c>
    </row>
    <row r="306" spans="1:22" s="172" customFormat="1" ht="20.25" customHeight="1">
      <c r="A306" s="263" t="str">
        <f t="shared" si="90"/>
        <v/>
      </c>
      <c r="B306" s="263"/>
      <c r="C306" s="264">
        <f t="shared" si="87"/>
        <v>305</v>
      </c>
      <c r="D306" s="277" t="s">
        <v>1500</v>
      </c>
      <c r="E306" s="293">
        <f t="shared" si="92"/>
        <v>304</v>
      </c>
      <c r="F306" s="267" t="s">
        <v>61</v>
      </c>
      <c r="G306" s="267"/>
      <c r="H306" s="308">
        <f t="shared" ref="H306:H308" si="94">H305</f>
        <v>18</v>
      </c>
      <c r="I306" s="308"/>
      <c r="J306" s="308">
        <f>J301</f>
        <v>2000</v>
      </c>
      <c r="K306" s="308" t="str">
        <f>K301</f>
        <v>mm</v>
      </c>
      <c r="L306" s="367" t="str">
        <f>J306&amp;" "&amp;K306</f>
        <v>2000 mm</v>
      </c>
      <c r="M306" s="319">
        <v>1</v>
      </c>
      <c r="N306" s="271" t="s">
        <v>81</v>
      </c>
      <c r="O306" s="297">
        <f t="shared" si="89"/>
        <v>2</v>
      </c>
      <c r="P306" s="271" t="s">
        <v>139</v>
      </c>
      <c r="Q306" s="324">
        <f>VLOOKUP(H306,BM!$B$3:$Y$62,20,FALSE)</f>
        <v>0.5</v>
      </c>
      <c r="R306" s="271" t="s">
        <v>112</v>
      </c>
      <c r="S306" s="290">
        <f t="shared" si="91"/>
        <v>1</v>
      </c>
      <c r="T306" s="275">
        <v>1</v>
      </c>
      <c r="U306" s="290">
        <f t="shared" si="93"/>
        <v>2</v>
      </c>
      <c r="V306" s="276" t="s">
        <v>48</v>
      </c>
    </row>
    <row r="307" spans="1:22" s="172" customFormat="1" ht="20.25" customHeight="1">
      <c r="A307" s="263" t="str">
        <f t="shared" si="90"/>
        <v/>
      </c>
      <c r="B307" s="263"/>
      <c r="C307" s="264">
        <f t="shared" si="87"/>
        <v>306</v>
      </c>
      <c r="D307" s="277" t="s">
        <v>1500</v>
      </c>
      <c r="E307" s="293">
        <f t="shared" si="92"/>
        <v>305</v>
      </c>
      <c r="F307" s="267" t="s">
        <v>61</v>
      </c>
      <c r="G307" s="267"/>
      <c r="H307" s="308">
        <f t="shared" si="94"/>
        <v>18</v>
      </c>
      <c r="I307" s="308"/>
      <c r="J307" s="308">
        <f>J302</f>
        <v>1000</v>
      </c>
      <c r="K307" s="308" t="str">
        <f>K302</f>
        <v>mm</v>
      </c>
      <c r="L307" s="367" t="str">
        <f>J307&amp;" "&amp;K307</f>
        <v>1000 mm</v>
      </c>
      <c r="M307" s="319">
        <v>1</v>
      </c>
      <c r="N307" s="271" t="s">
        <v>81</v>
      </c>
      <c r="O307" s="297">
        <f t="shared" si="89"/>
        <v>1</v>
      </c>
      <c r="P307" s="271" t="s">
        <v>139</v>
      </c>
      <c r="Q307" s="324">
        <f>VLOOKUP(H307,BM!$B$3:$Y$62,20,FALSE)</f>
        <v>0.5</v>
      </c>
      <c r="R307" s="271" t="s">
        <v>112</v>
      </c>
      <c r="S307" s="290">
        <f t="shared" si="91"/>
        <v>0.5</v>
      </c>
      <c r="T307" s="275">
        <v>1</v>
      </c>
      <c r="U307" s="290">
        <f t="shared" si="93"/>
        <v>1.5</v>
      </c>
      <c r="V307" s="276" t="s">
        <v>48</v>
      </c>
    </row>
    <row r="308" spans="1:22" s="172" customFormat="1" ht="20.25" customHeight="1">
      <c r="A308" s="263" t="str">
        <f t="shared" si="90"/>
        <v/>
      </c>
      <c r="B308" s="263"/>
      <c r="C308" s="264">
        <f t="shared" si="87"/>
        <v>307</v>
      </c>
      <c r="D308" s="277" t="s">
        <v>1500</v>
      </c>
      <c r="E308" s="293">
        <f t="shared" si="92"/>
        <v>306</v>
      </c>
      <c r="F308" s="267" t="s">
        <v>61</v>
      </c>
      <c r="G308" s="267"/>
      <c r="H308" s="308">
        <f t="shared" si="94"/>
        <v>18</v>
      </c>
      <c r="I308" s="308"/>
      <c r="J308" s="308">
        <f>J303</f>
        <v>0</v>
      </c>
      <c r="K308" s="308" t="str">
        <f>K303</f>
        <v>mm</v>
      </c>
      <c r="L308" s="367" t="str">
        <f>J308&amp;" "&amp;K308</f>
        <v>0 mm</v>
      </c>
      <c r="M308" s="319">
        <v>1</v>
      </c>
      <c r="N308" s="271" t="s">
        <v>81</v>
      </c>
      <c r="O308" s="297">
        <f t="shared" si="89"/>
        <v>0</v>
      </c>
      <c r="P308" s="271" t="s">
        <v>139</v>
      </c>
      <c r="Q308" s="324">
        <f>VLOOKUP(H308,BM!$B$3:$Y$62,20,FALSE)</f>
        <v>0.5</v>
      </c>
      <c r="R308" s="271" t="s">
        <v>112</v>
      </c>
      <c r="S308" s="290">
        <f t="shared" si="91"/>
        <v>0</v>
      </c>
      <c r="T308" s="275">
        <v>1</v>
      </c>
      <c r="U308" s="290">
        <f t="shared" si="93"/>
        <v>1</v>
      </c>
      <c r="V308" s="276" t="s">
        <v>48</v>
      </c>
    </row>
    <row r="309" spans="1:22" s="172" customFormat="1" ht="20.25" customHeight="1">
      <c r="A309" s="263">
        <f t="shared" si="90"/>
        <v>308</v>
      </c>
      <c r="B309" s="263" t="s">
        <v>1263</v>
      </c>
      <c r="C309" s="264">
        <f t="shared" si="87"/>
        <v>308</v>
      </c>
      <c r="D309" s="265" t="s">
        <v>1501</v>
      </c>
      <c r="E309" s="279">
        <f>C304</f>
        <v>303</v>
      </c>
      <c r="F309" s="267"/>
      <c r="G309" s="267"/>
      <c r="H309" s="268"/>
      <c r="I309" s="268"/>
      <c r="J309" s="269"/>
      <c r="K309" s="269"/>
      <c r="L309" s="269"/>
      <c r="M309" s="319"/>
      <c r="N309" s="271"/>
      <c r="O309" s="280"/>
      <c r="P309" s="271"/>
      <c r="Q309" s="281"/>
      <c r="R309" s="271"/>
      <c r="S309" s="312"/>
      <c r="T309" s="282"/>
      <c r="U309" s="312"/>
      <c r="V309" s="276"/>
    </row>
    <row r="310" spans="1:22" s="172" customFormat="1" ht="20.25" customHeight="1">
      <c r="A310" s="263" t="str">
        <f t="shared" si="90"/>
        <v/>
      </c>
      <c r="B310" s="263"/>
      <c r="C310" s="264">
        <f t="shared" si="87"/>
        <v>309</v>
      </c>
      <c r="D310" s="277" t="s">
        <v>1502</v>
      </c>
      <c r="E310" s="293"/>
      <c r="F310" s="267" t="s">
        <v>312</v>
      </c>
      <c r="G310" s="267"/>
      <c r="H310" s="308">
        <f>H308</f>
        <v>18</v>
      </c>
      <c r="I310" s="308"/>
      <c r="J310" s="308">
        <f>J305</f>
        <v>2500</v>
      </c>
      <c r="K310" s="308" t="str">
        <f>K305</f>
        <v>mm</v>
      </c>
      <c r="L310" s="367" t="str">
        <f>J310&amp;" "&amp;K310</f>
        <v>2500 mm</v>
      </c>
      <c r="M310" s="319">
        <v>1</v>
      </c>
      <c r="N310" s="271" t="s">
        <v>81</v>
      </c>
      <c r="O310" s="272">
        <v>1</v>
      </c>
      <c r="P310" s="296" t="s">
        <v>81</v>
      </c>
      <c r="Q310" s="273">
        <v>1</v>
      </c>
      <c r="R310" s="271" t="s">
        <v>41</v>
      </c>
      <c r="S310" s="290">
        <f t="shared" si="91"/>
        <v>1</v>
      </c>
      <c r="T310" s="275"/>
      <c r="U310" s="290">
        <f t="shared" si="93"/>
        <v>1</v>
      </c>
      <c r="V310" s="276" t="s">
        <v>42</v>
      </c>
    </row>
    <row r="311" spans="1:22" s="172" customFormat="1" ht="20.25" customHeight="1">
      <c r="A311" s="263" t="str">
        <f t="shared" si="90"/>
        <v/>
      </c>
      <c r="B311" s="263"/>
      <c r="C311" s="264">
        <f t="shared" si="87"/>
        <v>310</v>
      </c>
      <c r="D311" s="277" t="s">
        <v>1502</v>
      </c>
      <c r="E311" s="293">
        <f t="shared" si="92"/>
        <v>309</v>
      </c>
      <c r="F311" s="267" t="s">
        <v>312</v>
      </c>
      <c r="G311" s="267"/>
      <c r="H311" s="308">
        <f t="shared" ref="H311:H313" si="95">H310</f>
        <v>18</v>
      </c>
      <c r="I311" s="308"/>
      <c r="J311" s="308">
        <f>J306</f>
        <v>2000</v>
      </c>
      <c r="K311" s="308" t="str">
        <f>K306</f>
        <v>mm</v>
      </c>
      <c r="L311" s="367" t="str">
        <f>J311&amp;" "&amp;K311</f>
        <v>2000 mm</v>
      </c>
      <c r="M311" s="319">
        <v>1</v>
      </c>
      <c r="N311" s="271" t="s">
        <v>81</v>
      </c>
      <c r="O311" s="272">
        <v>1</v>
      </c>
      <c r="P311" s="296" t="s">
        <v>81</v>
      </c>
      <c r="Q311" s="324">
        <f t="shared" ref="Q311:R313" si="96">Q310</f>
        <v>1</v>
      </c>
      <c r="R311" s="331" t="str">
        <f t="shared" si="96"/>
        <v>Day</v>
      </c>
      <c r="S311" s="290">
        <f t="shared" si="91"/>
        <v>1</v>
      </c>
      <c r="T311" s="275"/>
      <c r="U311" s="290">
        <f t="shared" si="93"/>
        <v>1</v>
      </c>
      <c r="V311" s="276" t="s">
        <v>42</v>
      </c>
    </row>
    <row r="312" spans="1:22" s="172" customFormat="1" ht="20.25" customHeight="1">
      <c r="A312" s="263" t="str">
        <f t="shared" si="90"/>
        <v/>
      </c>
      <c r="B312" s="263"/>
      <c r="C312" s="264">
        <f t="shared" si="87"/>
        <v>311</v>
      </c>
      <c r="D312" s="277" t="s">
        <v>1502</v>
      </c>
      <c r="E312" s="293">
        <f t="shared" si="92"/>
        <v>310</v>
      </c>
      <c r="F312" s="267" t="s">
        <v>312</v>
      </c>
      <c r="G312" s="267"/>
      <c r="H312" s="308">
        <f t="shared" si="95"/>
        <v>18</v>
      </c>
      <c r="I312" s="308"/>
      <c r="J312" s="308">
        <f>J307</f>
        <v>1000</v>
      </c>
      <c r="K312" s="308" t="str">
        <f>K307</f>
        <v>mm</v>
      </c>
      <c r="L312" s="367" t="str">
        <f>J312&amp;" "&amp;K312</f>
        <v>1000 mm</v>
      </c>
      <c r="M312" s="319">
        <v>1</v>
      </c>
      <c r="N312" s="271" t="s">
        <v>81</v>
      </c>
      <c r="O312" s="272">
        <v>1</v>
      </c>
      <c r="P312" s="296" t="s">
        <v>81</v>
      </c>
      <c r="Q312" s="324">
        <f t="shared" si="96"/>
        <v>1</v>
      </c>
      <c r="R312" s="331" t="str">
        <f t="shared" si="96"/>
        <v>Day</v>
      </c>
      <c r="S312" s="290">
        <f t="shared" si="91"/>
        <v>1</v>
      </c>
      <c r="T312" s="275"/>
      <c r="U312" s="290">
        <f t="shared" si="93"/>
        <v>1</v>
      </c>
      <c r="V312" s="276" t="s">
        <v>42</v>
      </c>
    </row>
    <row r="313" spans="1:22" s="172" customFormat="1" ht="20.25" customHeight="1">
      <c r="A313" s="263" t="str">
        <f t="shared" si="90"/>
        <v/>
      </c>
      <c r="B313" s="263"/>
      <c r="C313" s="264">
        <f t="shared" si="87"/>
        <v>312</v>
      </c>
      <c r="D313" s="277" t="s">
        <v>1502</v>
      </c>
      <c r="E313" s="293">
        <f t="shared" si="92"/>
        <v>311</v>
      </c>
      <c r="F313" s="267" t="s">
        <v>312</v>
      </c>
      <c r="G313" s="267"/>
      <c r="H313" s="308">
        <f t="shared" si="95"/>
        <v>18</v>
      </c>
      <c r="I313" s="308"/>
      <c r="J313" s="308">
        <f>J308</f>
        <v>0</v>
      </c>
      <c r="K313" s="308" t="str">
        <f>K308</f>
        <v>mm</v>
      </c>
      <c r="L313" s="367" t="str">
        <f>J313&amp;" "&amp;K313</f>
        <v>0 mm</v>
      </c>
      <c r="M313" s="319">
        <v>1</v>
      </c>
      <c r="N313" s="271" t="s">
        <v>81</v>
      </c>
      <c r="O313" s="272">
        <v>1</v>
      </c>
      <c r="P313" s="296" t="s">
        <v>81</v>
      </c>
      <c r="Q313" s="324">
        <f t="shared" si="96"/>
        <v>1</v>
      </c>
      <c r="R313" s="331" t="str">
        <f t="shared" si="96"/>
        <v>Day</v>
      </c>
      <c r="S313" s="290">
        <f t="shared" si="91"/>
        <v>1</v>
      </c>
      <c r="T313" s="275"/>
      <c r="U313" s="290">
        <f t="shared" si="93"/>
        <v>1</v>
      </c>
      <c r="V313" s="276" t="s">
        <v>42</v>
      </c>
    </row>
    <row r="314" spans="1:22" s="172" customFormat="1" ht="20.25" customHeight="1">
      <c r="A314" s="263">
        <f t="shared" si="90"/>
        <v>313</v>
      </c>
      <c r="B314" s="263" t="s">
        <v>1263</v>
      </c>
      <c r="C314" s="264">
        <f t="shared" si="87"/>
        <v>313</v>
      </c>
      <c r="D314" s="265" t="s">
        <v>1503</v>
      </c>
      <c r="E314" s="279">
        <f>C309</f>
        <v>308</v>
      </c>
      <c r="F314" s="267"/>
      <c r="G314" s="267"/>
      <c r="H314" s="268"/>
      <c r="I314" s="268"/>
      <c r="J314" s="269"/>
      <c r="K314" s="269"/>
      <c r="L314" s="269"/>
      <c r="M314" s="319"/>
      <c r="N314" s="271"/>
      <c r="O314" s="272"/>
      <c r="P314" s="271"/>
      <c r="Q314" s="273"/>
      <c r="R314" s="271"/>
      <c r="S314" s="290">
        <f t="shared" si="91"/>
        <v>0</v>
      </c>
      <c r="T314" s="275"/>
      <c r="U314" s="307"/>
      <c r="V314" s="276"/>
    </row>
    <row r="315" spans="1:22" s="172" customFormat="1" ht="20.25" customHeight="1">
      <c r="A315" s="263" t="str">
        <f t="shared" si="90"/>
        <v/>
      </c>
      <c r="B315" s="263"/>
      <c r="C315" s="264">
        <f t="shared" si="87"/>
        <v>314</v>
      </c>
      <c r="D315" s="277" t="s">
        <v>1504</v>
      </c>
      <c r="E315" s="293"/>
      <c r="F315" s="267" t="s">
        <v>286</v>
      </c>
      <c r="G315" s="267"/>
      <c r="H315" s="308">
        <f>H313</f>
        <v>18</v>
      </c>
      <c r="I315" s="308"/>
      <c r="J315" s="308">
        <f>J310</f>
        <v>2500</v>
      </c>
      <c r="K315" s="308" t="str">
        <f>K310</f>
        <v>mm</v>
      </c>
      <c r="L315" s="367" t="str">
        <f>J315&amp;" "&amp;K315</f>
        <v>2500 mm</v>
      </c>
      <c r="M315" s="319">
        <v>1</v>
      </c>
      <c r="N315" s="271" t="s">
        <v>81</v>
      </c>
      <c r="O315" s="327">
        <f>M315</f>
        <v>1</v>
      </c>
      <c r="P315" s="296" t="s">
        <v>81</v>
      </c>
      <c r="Q315" s="273">
        <v>3</v>
      </c>
      <c r="R315" s="271" t="s">
        <v>112</v>
      </c>
      <c r="S315" s="290">
        <f t="shared" si="91"/>
        <v>3</v>
      </c>
      <c r="T315" s="275">
        <v>1</v>
      </c>
      <c r="U315" s="290">
        <f t="shared" si="93"/>
        <v>4</v>
      </c>
      <c r="V315" s="276" t="s">
        <v>48</v>
      </c>
    </row>
    <row r="316" spans="1:22" s="172" customFormat="1" ht="20.25" customHeight="1">
      <c r="A316" s="263" t="str">
        <f t="shared" si="90"/>
        <v/>
      </c>
      <c r="B316" s="263"/>
      <c r="C316" s="264">
        <f t="shared" si="87"/>
        <v>315</v>
      </c>
      <c r="D316" s="277" t="s">
        <v>1504</v>
      </c>
      <c r="E316" s="293">
        <f t="shared" si="92"/>
        <v>314</v>
      </c>
      <c r="F316" s="267" t="s">
        <v>286</v>
      </c>
      <c r="G316" s="267"/>
      <c r="H316" s="308">
        <f>H313</f>
        <v>18</v>
      </c>
      <c r="I316" s="308"/>
      <c r="J316" s="308">
        <f>J311</f>
        <v>2000</v>
      </c>
      <c r="K316" s="308" t="str">
        <f>K311</f>
        <v>mm</v>
      </c>
      <c r="L316" s="367" t="str">
        <f>J316&amp;" "&amp;K316</f>
        <v>2000 mm</v>
      </c>
      <c r="M316" s="319">
        <v>1</v>
      </c>
      <c r="N316" s="271" t="s">
        <v>81</v>
      </c>
      <c r="O316" s="327">
        <f>M316</f>
        <v>1</v>
      </c>
      <c r="P316" s="296" t="s">
        <v>81</v>
      </c>
      <c r="Q316" s="324">
        <f>Q315</f>
        <v>3</v>
      </c>
      <c r="R316" s="271" t="s">
        <v>112</v>
      </c>
      <c r="S316" s="290">
        <f t="shared" si="91"/>
        <v>3</v>
      </c>
      <c r="T316" s="275">
        <v>1</v>
      </c>
      <c r="U316" s="290">
        <f t="shared" si="93"/>
        <v>4</v>
      </c>
      <c r="V316" s="276" t="s">
        <v>48</v>
      </c>
    </row>
    <row r="317" spans="1:22" s="172" customFormat="1" ht="20.25" customHeight="1">
      <c r="A317" s="263" t="str">
        <f t="shared" si="90"/>
        <v/>
      </c>
      <c r="B317" s="263"/>
      <c r="C317" s="264">
        <f t="shared" si="87"/>
        <v>316</v>
      </c>
      <c r="D317" s="277" t="s">
        <v>1504</v>
      </c>
      <c r="E317" s="293">
        <f t="shared" si="92"/>
        <v>315</v>
      </c>
      <c r="F317" s="267" t="s">
        <v>286</v>
      </c>
      <c r="G317" s="267"/>
      <c r="H317" s="308">
        <f>H313</f>
        <v>18</v>
      </c>
      <c r="I317" s="308"/>
      <c r="J317" s="308">
        <f>J312</f>
        <v>1000</v>
      </c>
      <c r="K317" s="308" t="str">
        <f>K312</f>
        <v>mm</v>
      </c>
      <c r="L317" s="367" t="str">
        <f>J317&amp;" "&amp;K317</f>
        <v>1000 mm</v>
      </c>
      <c r="M317" s="319">
        <v>1</v>
      </c>
      <c r="N317" s="271" t="s">
        <v>81</v>
      </c>
      <c r="O317" s="327">
        <f>M317</f>
        <v>1</v>
      </c>
      <c r="P317" s="296" t="s">
        <v>81</v>
      </c>
      <c r="Q317" s="324">
        <f>Q316</f>
        <v>3</v>
      </c>
      <c r="R317" s="271" t="s">
        <v>112</v>
      </c>
      <c r="S317" s="290">
        <f t="shared" si="91"/>
        <v>3</v>
      </c>
      <c r="T317" s="275">
        <v>1</v>
      </c>
      <c r="U317" s="290">
        <f t="shared" si="93"/>
        <v>4</v>
      </c>
      <c r="V317" s="276" t="s">
        <v>48</v>
      </c>
    </row>
    <row r="318" spans="1:22" s="172" customFormat="1" ht="20.25" customHeight="1">
      <c r="A318" s="263" t="str">
        <f t="shared" si="90"/>
        <v/>
      </c>
      <c r="B318" s="263"/>
      <c r="C318" s="264">
        <f t="shared" si="87"/>
        <v>317</v>
      </c>
      <c r="D318" s="277" t="s">
        <v>1504</v>
      </c>
      <c r="E318" s="293">
        <f t="shared" si="92"/>
        <v>316</v>
      </c>
      <c r="F318" s="267" t="s">
        <v>286</v>
      </c>
      <c r="G318" s="267"/>
      <c r="H318" s="308">
        <f>H313</f>
        <v>18</v>
      </c>
      <c r="I318" s="308"/>
      <c r="J318" s="308">
        <f>J313</f>
        <v>0</v>
      </c>
      <c r="K318" s="308" t="str">
        <f>K313</f>
        <v>mm</v>
      </c>
      <c r="L318" s="367" t="str">
        <f>J318&amp;" "&amp;K318</f>
        <v>0 mm</v>
      </c>
      <c r="M318" s="319">
        <v>1</v>
      </c>
      <c r="N318" s="271" t="s">
        <v>81</v>
      </c>
      <c r="O318" s="327">
        <f>M318</f>
        <v>1</v>
      </c>
      <c r="P318" s="296" t="s">
        <v>81</v>
      </c>
      <c r="Q318" s="324">
        <f>Q317</f>
        <v>3</v>
      </c>
      <c r="R318" s="271" t="s">
        <v>112</v>
      </c>
      <c r="S318" s="290">
        <f t="shared" si="91"/>
        <v>3</v>
      </c>
      <c r="T318" s="275">
        <v>1</v>
      </c>
      <c r="U318" s="290">
        <f t="shared" si="93"/>
        <v>4</v>
      </c>
      <c r="V318" s="276" t="s">
        <v>48</v>
      </c>
    </row>
    <row r="319" spans="1:22" s="172" customFormat="1" ht="20.25" customHeight="1">
      <c r="A319" s="263">
        <f t="shared" si="90"/>
        <v>318</v>
      </c>
      <c r="B319" s="263" t="s">
        <v>1263</v>
      </c>
      <c r="C319" s="264">
        <f t="shared" si="87"/>
        <v>318</v>
      </c>
      <c r="D319" s="265" t="s">
        <v>1505</v>
      </c>
      <c r="E319" s="279">
        <f>C314</f>
        <v>313</v>
      </c>
      <c r="F319" s="267"/>
      <c r="G319" s="267"/>
      <c r="H319" s="268"/>
      <c r="I319" s="268"/>
      <c r="J319" s="269"/>
      <c r="K319" s="269"/>
      <c r="L319" s="269"/>
      <c r="M319" s="319"/>
      <c r="N319" s="271"/>
      <c r="O319" s="280"/>
      <c r="P319" s="271"/>
      <c r="Q319" s="281"/>
      <c r="R319" s="271"/>
      <c r="S319" s="312"/>
      <c r="T319" s="282"/>
      <c r="U319" s="312"/>
      <c r="V319" s="276"/>
    </row>
    <row r="320" spans="1:22" s="172" customFormat="1" ht="20.25" customHeight="1">
      <c r="A320" s="263" t="str">
        <f t="shared" si="90"/>
        <v/>
      </c>
      <c r="B320" s="263"/>
      <c r="C320" s="264">
        <f t="shared" si="87"/>
        <v>319</v>
      </c>
      <c r="D320" s="277" t="s">
        <v>1506</v>
      </c>
      <c r="E320" s="293"/>
      <c r="F320" s="267" t="s">
        <v>44</v>
      </c>
      <c r="G320" s="267"/>
      <c r="H320" s="316">
        <v>12</v>
      </c>
      <c r="I320" s="316"/>
      <c r="J320" s="310">
        <v>625</v>
      </c>
      <c r="K320" s="294" t="s">
        <v>1833</v>
      </c>
      <c r="L320" s="367" t="str">
        <f>J320&amp;" "&amp;K320</f>
        <v>625 mm id</v>
      </c>
      <c r="M320" s="319">
        <v>1</v>
      </c>
      <c r="N320" s="271" t="s">
        <v>81</v>
      </c>
      <c r="O320" s="297">
        <f>LEFT(L320,SEARCH(" ",L320,1)-1)*3.142*M320*0.001</f>
        <v>1.9637500000000001</v>
      </c>
      <c r="P320" s="271" t="s">
        <v>139</v>
      </c>
      <c r="Q320" s="324">
        <f>VLOOKUP(H320,BM!$B$3:$Y$62,10,FALSE)</f>
        <v>1</v>
      </c>
      <c r="R320" s="271" t="s">
        <v>112</v>
      </c>
      <c r="S320" s="290">
        <f t="shared" si="91"/>
        <v>1.9637500000000001</v>
      </c>
      <c r="T320" s="275">
        <v>1</v>
      </c>
      <c r="U320" s="290">
        <f t="shared" si="93"/>
        <v>2.96</v>
      </c>
      <c r="V320" s="276" t="s">
        <v>48</v>
      </c>
    </row>
    <row r="321" spans="1:22" s="172" customFormat="1" ht="20.25" customHeight="1">
      <c r="A321" s="263" t="str">
        <f t="shared" si="90"/>
        <v/>
      </c>
      <c r="B321" s="263"/>
      <c r="C321" s="264">
        <f t="shared" si="87"/>
        <v>320</v>
      </c>
      <c r="D321" s="277" t="s">
        <v>1506</v>
      </c>
      <c r="E321" s="293">
        <f t="shared" si="92"/>
        <v>319</v>
      </c>
      <c r="F321" s="267" t="s">
        <v>44</v>
      </c>
      <c r="G321" s="267"/>
      <c r="H321" s="316">
        <v>18</v>
      </c>
      <c r="I321" s="316"/>
      <c r="J321" s="308">
        <f>J320</f>
        <v>625</v>
      </c>
      <c r="K321" s="308" t="str">
        <f>K320</f>
        <v>mm id</v>
      </c>
      <c r="L321" s="367" t="str">
        <f>J321&amp;" "&amp;K321</f>
        <v>625 mm id</v>
      </c>
      <c r="M321" s="319">
        <v>1</v>
      </c>
      <c r="N321" s="271" t="s">
        <v>81</v>
      </c>
      <c r="O321" s="297">
        <f t="shared" ref="O321:O323" si="97">LEFT(L321,SEARCH(" ",L321,1)-1)*3.142*M321*0.001</f>
        <v>1.9637500000000001</v>
      </c>
      <c r="P321" s="271" t="s">
        <v>139</v>
      </c>
      <c r="Q321" s="324">
        <f>VLOOKUP(H321,BM!$B$3:$Y$62,10,FALSE)</f>
        <v>1</v>
      </c>
      <c r="R321" s="271" t="s">
        <v>112</v>
      </c>
      <c r="S321" s="290">
        <f t="shared" si="91"/>
        <v>1.9637500000000001</v>
      </c>
      <c r="T321" s="275">
        <v>1</v>
      </c>
      <c r="U321" s="290">
        <f t="shared" si="93"/>
        <v>2.96</v>
      </c>
      <c r="V321" s="276" t="s">
        <v>48</v>
      </c>
    </row>
    <row r="322" spans="1:22" s="172" customFormat="1" ht="20.25" customHeight="1">
      <c r="A322" s="263" t="str">
        <f t="shared" si="90"/>
        <v/>
      </c>
      <c r="B322" s="263"/>
      <c r="C322" s="264">
        <f t="shared" si="87"/>
        <v>321</v>
      </c>
      <c r="D322" s="277" t="s">
        <v>1506</v>
      </c>
      <c r="E322" s="293">
        <f t="shared" si="92"/>
        <v>320</v>
      </c>
      <c r="F322" s="267" t="s">
        <v>44</v>
      </c>
      <c r="G322" s="267"/>
      <c r="H322" s="316">
        <v>18</v>
      </c>
      <c r="I322" s="316"/>
      <c r="J322" s="308">
        <f>J321</f>
        <v>625</v>
      </c>
      <c r="K322" s="308" t="str">
        <f>K321</f>
        <v>mm id</v>
      </c>
      <c r="L322" s="367" t="str">
        <f>J322&amp;" "&amp;K322</f>
        <v>625 mm id</v>
      </c>
      <c r="M322" s="319">
        <v>1</v>
      </c>
      <c r="N322" s="271" t="s">
        <v>81</v>
      </c>
      <c r="O322" s="297">
        <f t="shared" si="97"/>
        <v>1.9637500000000001</v>
      </c>
      <c r="P322" s="271" t="s">
        <v>139</v>
      </c>
      <c r="Q322" s="324">
        <f>VLOOKUP(H322,BM!$B$3:$Y$62,10,FALSE)</f>
        <v>1</v>
      </c>
      <c r="R322" s="271" t="s">
        <v>112</v>
      </c>
      <c r="S322" s="290">
        <f t="shared" si="91"/>
        <v>1.9637500000000001</v>
      </c>
      <c r="T322" s="275">
        <v>1</v>
      </c>
      <c r="U322" s="290">
        <f t="shared" si="93"/>
        <v>2.96</v>
      </c>
      <c r="V322" s="276" t="s">
        <v>48</v>
      </c>
    </row>
    <row r="323" spans="1:22" s="172" customFormat="1" ht="20.25" customHeight="1">
      <c r="A323" s="263" t="str">
        <f t="shared" si="90"/>
        <v/>
      </c>
      <c r="B323" s="263"/>
      <c r="C323" s="264">
        <f t="shared" si="87"/>
        <v>322</v>
      </c>
      <c r="D323" s="277" t="s">
        <v>1506</v>
      </c>
      <c r="E323" s="293">
        <f t="shared" si="92"/>
        <v>321</v>
      </c>
      <c r="F323" s="267" t="s">
        <v>44</v>
      </c>
      <c r="G323" s="267"/>
      <c r="H323" s="316">
        <v>18</v>
      </c>
      <c r="I323" s="316"/>
      <c r="J323" s="315">
        <v>0</v>
      </c>
      <c r="K323" s="294" t="s">
        <v>1833</v>
      </c>
      <c r="L323" s="367" t="str">
        <f>J323&amp;" "&amp;K323</f>
        <v>0 mm id</v>
      </c>
      <c r="M323" s="319">
        <v>1</v>
      </c>
      <c r="N323" s="271" t="s">
        <v>81</v>
      </c>
      <c r="O323" s="297">
        <f t="shared" si="97"/>
        <v>0</v>
      </c>
      <c r="P323" s="271" t="s">
        <v>139</v>
      </c>
      <c r="Q323" s="324">
        <f>VLOOKUP(H323,BM!$B$3:$Y$62,10,FALSE)</f>
        <v>1</v>
      </c>
      <c r="R323" s="271" t="s">
        <v>112</v>
      </c>
      <c r="S323" s="290">
        <f t="shared" si="91"/>
        <v>0</v>
      </c>
      <c r="T323" s="275">
        <v>1</v>
      </c>
      <c r="U323" s="290">
        <f t="shared" si="93"/>
        <v>1</v>
      </c>
      <c r="V323" s="276" t="s">
        <v>48</v>
      </c>
    </row>
    <row r="324" spans="1:22" s="172" customFormat="1" ht="20.25" customHeight="1">
      <c r="A324" s="263">
        <f t="shared" si="90"/>
        <v>323</v>
      </c>
      <c r="B324" s="263" t="s">
        <v>1263</v>
      </c>
      <c r="C324" s="264">
        <f t="shared" ref="C324:C387" si="98">C323+1</f>
        <v>323</v>
      </c>
      <c r="D324" s="265" t="s">
        <v>1507</v>
      </c>
      <c r="E324" s="279">
        <f>C319</f>
        <v>318</v>
      </c>
      <c r="F324" s="267"/>
      <c r="G324" s="267"/>
      <c r="H324" s="268"/>
      <c r="I324" s="268"/>
      <c r="J324" s="269"/>
      <c r="K324" s="269"/>
      <c r="L324" s="269"/>
      <c r="M324" s="319"/>
      <c r="N324" s="271"/>
      <c r="O324" s="280"/>
      <c r="P324" s="271"/>
      <c r="Q324" s="281"/>
      <c r="R324" s="271"/>
      <c r="S324" s="312"/>
      <c r="T324" s="282"/>
      <c r="U324" s="312"/>
      <c r="V324" s="276"/>
    </row>
    <row r="325" spans="1:22" s="172" customFormat="1" ht="20.25" customHeight="1">
      <c r="A325" s="263" t="str">
        <f t="shared" si="90"/>
        <v/>
      </c>
      <c r="B325" s="263"/>
      <c r="C325" s="264">
        <f t="shared" si="98"/>
        <v>324</v>
      </c>
      <c r="D325" s="277" t="s">
        <v>1508</v>
      </c>
      <c r="E325" s="293"/>
      <c r="F325" s="267" t="s">
        <v>299</v>
      </c>
      <c r="G325" s="267"/>
      <c r="H325" s="316">
        <v>18</v>
      </c>
      <c r="I325" s="316"/>
      <c r="J325" s="308">
        <f>J322</f>
        <v>625</v>
      </c>
      <c r="K325" s="308" t="str">
        <f>K322</f>
        <v>mm id</v>
      </c>
      <c r="L325" s="367" t="str">
        <f>J325&amp;" "&amp;K325</f>
        <v>625 mm id</v>
      </c>
      <c r="M325" s="319">
        <v>1</v>
      </c>
      <c r="N325" s="271" t="s">
        <v>81</v>
      </c>
      <c r="O325" s="297">
        <f t="shared" ref="O325:O326" si="99">LEFT(L325,SEARCH(" ",L325,1)-1)*3.142*M325*0.001</f>
        <v>1.9637500000000001</v>
      </c>
      <c r="P325" s="271" t="s">
        <v>139</v>
      </c>
      <c r="Q325" s="324">
        <f>VLOOKUP(H325,BM!$B$3:$Y$62,10,FALSE)</f>
        <v>1</v>
      </c>
      <c r="R325" s="271" t="s">
        <v>112</v>
      </c>
      <c r="S325" s="290">
        <f t="shared" si="91"/>
        <v>1.9637500000000001</v>
      </c>
      <c r="T325" s="275">
        <v>1</v>
      </c>
      <c r="U325" s="290">
        <f t="shared" si="93"/>
        <v>2.96</v>
      </c>
      <c r="V325" s="276" t="s">
        <v>48</v>
      </c>
    </row>
    <row r="326" spans="1:22" s="172" customFormat="1" ht="20.25" customHeight="1">
      <c r="A326" s="263" t="str">
        <f t="shared" si="90"/>
        <v/>
      </c>
      <c r="B326" s="263"/>
      <c r="C326" s="264">
        <f t="shared" si="98"/>
        <v>325</v>
      </c>
      <c r="D326" s="277" t="s">
        <v>1509</v>
      </c>
      <c r="E326" s="293">
        <f t="shared" si="92"/>
        <v>324</v>
      </c>
      <c r="F326" s="267" t="s">
        <v>44</v>
      </c>
      <c r="G326" s="267"/>
      <c r="H326" s="316">
        <v>18</v>
      </c>
      <c r="I326" s="316"/>
      <c r="J326" s="308">
        <f t="shared" ref="J326" si="100">J325</f>
        <v>625</v>
      </c>
      <c r="K326" s="308" t="str">
        <f t="shared" ref="K326:L326" si="101">K325</f>
        <v>mm id</v>
      </c>
      <c r="L326" s="367" t="str">
        <f>J326&amp;" "&amp;K326</f>
        <v>625 mm id</v>
      </c>
      <c r="M326" s="319">
        <v>1</v>
      </c>
      <c r="N326" s="271" t="s">
        <v>81</v>
      </c>
      <c r="O326" s="297">
        <f t="shared" si="99"/>
        <v>1.9637500000000001</v>
      </c>
      <c r="P326" s="271" t="s">
        <v>139</v>
      </c>
      <c r="Q326" s="273">
        <v>1</v>
      </c>
      <c r="R326" s="271" t="s">
        <v>112</v>
      </c>
      <c r="S326" s="290">
        <f t="shared" si="91"/>
        <v>1.9637500000000001</v>
      </c>
      <c r="T326" s="275">
        <v>1</v>
      </c>
      <c r="U326" s="290">
        <f t="shared" si="93"/>
        <v>2.96</v>
      </c>
      <c r="V326" s="276" t="s">
        <v>48</v>
      </c>
    </row>
    <row r="327" spans="1:22" s="172" customFormat="1" ht="20.25" customHeight="1">
      <c r="A327" s="263">
        <f t="shared" si="90"/>
        <v>326</v>
      </c>
      <c r="B327" s="263" t="s">
        <v>1263</v>
      </c>
      <c r="C327" s="264">
        <f t="shared" si="98"/>
        <v>326</v>
      </c>
      <c r="D327" s="265" t="s">
        <v>1510</v>
      </c>
      <c r="E327" s="279">
        <f>C324</f>
        <v>323</v>
      </c>
      <c r="F327" s="267"/>
      <c r="G327" s="267"/>
      <c r="H327" s="268"/>
      <c r="I327" s="268"/>
      <c r="J327" s="269"/>
      <c r="K327" s="269"/>
      <c r="L327" s="269"/>
      <c r="M327" s="319"/>
      <c r="N327" s="271"/>
      <c r="O327" s="280"/>
      <c r="P327" s="271"/>
      <c r="Q327" s="281"/>
      <c r="R327" s="271"/>
      <c r="S327" s="312"/>
      <c r="T327" s="282"/>
      <c r="U327" s="312"/>
      <c r="V327" s="276"/>
    </row>
    <row r="328" spans="1:22" s="172" customFormat="1" ht="20.25" customHeight="1">
      <c r="A328" s="263" t="str">
        <f t="shared" si="90"/>
        <v/>
      </c>
      <c r="B328" s="263"/>
      <c r="C328" s="264">
        <f t="shared" si="98"/>
        <v>327</v>
      </c>
      <c r="D328" s="277" t="s">
        <v>1511</v>
      </c>
      <c r="E328" s="293"/>
      <c r="F328" s="267" t="s">
        <v>44</v>
      </c>
      <c r="G328" s="267"/>
      <c r="H328" s="316">
        <v>18</v>
      </c>
      <c r="I328" s="316"/>
      <c r="J328" s="317">
        <f>J326</f>
        <v>625</v>
      </c>
      <c r="K328" s="317" t="str">
        <f>K326</f>
        <v>mm id</v>
      </c>
      <c r="L328" s="367" t="str">
        <f>J328&amp;" "&amp;K328</f>
        <v>625 mm id</v>
      </c>
      <c r="M328" s="319">
        <v>1</v>
      </c>
      <c r="N328" s="271" t="s">
        <v>81</v>
      </c>
      <c r="O328" s="272">
        <v>1</v>
      </c>
      <c r="P328" s="271" t="s">
        <v>81</v>
      </c>
      <c r="Q328" s="273">
        <v>1</v>
      </c>
      <c r="R328" s="271" t="s">
        <v>112</v>
      </c>
      <c r="S328" s="290">
        <f t="shared" si="91"/>
        <v>1</v>
      </c>
      <c r="T328" s="275">
        <v>1</v>
      </c>
      <c r="U328" s="290">
        <f t="shared" si="93"/>
        <v>2</v>
      </c>
      <c r="V328" s="276" t="s">
        <v>48</v>
      </c>
    </row>
    <row r="329" spans="1:22" s="172" customFormat="1" ht="20.25" customHeight="1">
      <c r="A329" s="263" t="str">
        <f t="shared" si="90"/>
        <v/>
      </c>
      <c r="B329" s="263"/>
      <c r="C329" s="264">
        <f t="shared" si="98"/>
        <v>328</v>
      </c>
      <c r="D329" s="277" t="s">
        <v>1512</v>
      </c>
      <c r="E329" s="293">
        <f t="shared" si="92"/>
        <v>327</v>
      </c>
      <c r="F329" s="267" t="s">
        <v>115</v>
      </c>
      <c r="G329" s="267"/>
      <c r="H329" s="308">
        <f>12</f>
        <v>12</v>
      </c>
      <c r="I329" s="308"/>
      <c r="J329" s="317">
        <f>J328</f>
        <v>625</v>
      </c>
      <c r="K329" s="317" t="str">
        <f>K328</f>
        <v>mm id</v>
      </c>
      <c r="L329" s="367" t="str">
        <f>J329&amp;" "&amp;K329</f>
        <v>625 mm id</v>
      </c>
      <c r="M329" s="319">
        <v>1</v>
      </c>
      <c r="N329" s="271" t="s">
        <v>81</v>
      </c>
      <c r="O329" s="297">
        <f t="shared" ref="O329:O332" si="102">LEFT(L329,SEARCH(" ",L329,1)-1)*3.142*M329*0.001</f>
        <v>1.9637500000000001</v>
      </c>
      <c r="P329" s="271" t="s">
        <v>139</v>
      </c>
      <c r="Q329" s="324">
        <f>VLOOKUP(H329,BM!$B$3:$Y$62,17,FALSE)</f>
        <v>2.5</v>
      </c>
      <c r="R329" s="271" t="s">
        <v>112</v>
      </c>
      <c r="S329" s="290">
        <f t="shared" si="91"/>
        <v>4.9093750000000007</v>
      </c>
      <c r="T329" s="275">
        <v>1</v>
      </c>
      <c r="U329" s="290">
        <f t="shared" si="93"/>
        <v>5.91</v>
      </c>
      <c r="V329" s="276" t="s">
        <v>48</v>
      </c>
    </row>
    <row r="330" spans="1:22" s="172" customFormat="1" ht="20.25" customHeight="1">
      <c r="A330" s="263" t="str">
        <f t="shared" si="90"/>
        <v/>
      </c>
      <c r="B330" s="263"/>
      <c r="C330" s="264">
        <f t="shared" si="98"/>
        <v>329</v>
      </c>
      <c r="D330" s="277" t="s">
        <v>1513</v>
      </c>
      <c r="E330" s="293">
        <f t="shared" si="92"/>
        <v>328</v>
      </c>
      <c r="F330" s="267" t="s">
        <v>61</v>
      </c>
      <c r="G330" s="267"/>
      <c r="H330" s="308">
        <f>18</f>
        <v>18</v>
      </c>
      <c r="I330" s="308"/>
      <c r="J330" s="317">
        <f>J329</f>
        <v>625</v>
      </c>
      <c r="K330" s="317" t="str">
        <f>K329</f>
        <v>mm id</v>
      </c>
      <c r="L330" s="367" t="str">
        <f>J330&amp;" "&amp;K330</f>
        <v>625 mm id</v>
      </c>
      <c r="M330" s="319">
        <v>1</v>
      </c>
      <c r="N330" s="271" t="s">
        <v>81</v>
      </c>
      <c r="O330" s="297">
        <f t="shared" si="102"/>
        <v>1.9637500000000001</v>
      </c>
      <c r="P330" s="271" t="s">
        <v>139</v>
      </c>
      <c r="Q330" s="324">
        <f>VLOOKUP(H330,BM!$B$3:$Y$62,18,FALSE)</f>
        <v>1</v>
      </c>
      <c r="R330" s="271" t="s">
        <v>112</v>
      </c>
      <c r="S330" s="290">
        <f t="shared" si="91"/>
        <v>1.9637500000000001</v>
      </c>
      <c r="T330" s="275">
        <v>1</v>
      </c>
      <c r="U330" s="290">
        <f t="shared" si="93"/>
        <v>2.96</v>
      </c>
      <c r="V330" s="276" t="s">
        <v>48</v>
      </c>
    </row>
    <row r="331" spans="1:22" s="172" customFormat="1" ht="20.25" customHeight="1">
      <c r="A331" s="263" t="str">
        <f t="shared" si="90"/>
        <v/>
      </c>
      <c r="B331" s="263"/>
      <c r="C331" s="264">
        <f t="shared" si="98"/>
        <v>330</v>
      </c>
      <c r="D331" s="277" t="s">
        <v>1514</v>
      </c>
      <c r="E331" s="293">
        <f t="shared" si="92"/>
        <v>329</v>
      </c>
      <c r="F331" s="267" t="s">
        <v>115</v>
      </c>
      <c r="G331" s="267"/>
      <c r="H331" s="316">
        <v>6</v>
      </c>
      <c r="I331" s="316"/>
      <c r="J331" s="317">
        <f>J330</f>
        <v>625</v>
      </c>
      <c r="K331" s="317" t="str">
        <f>K330</f>
        <v>mm id</v>
      </c>
      <c r="L331" s="367" t="str">
        <f>J331&amp;" "&amp;K331</f>
        <v>625 mm id</v>
      </c>
      <c r="M331" s="319">
        <v>1</v>
      </c>
      <c r="N331" s="271" t="s">
        <v>81</v>
      </c>
      <c r="O331" s="297">
        <f t="shared" si="102"/>
        <v>1.9637500000000001</v>
      </c>
      <c r="P331" s="271" t="s">
        <v>139</v>
      </c>
      <c r="Q331" s="324">
        <f>VLOOKUP(H331,BM!$B$3:$Y$62,17,FALSE)</f>
        <v>0.9</v>
      </c>
      <c r="R331" s="271" t="s">
        <v>112</v>
      </c>
      <c r="S331" s="290">
        <f t="shared" si="91"/>
        <v>1.7673750000000001</v>
      </c>
      <c r="T331" s="275">
        <v>1</v>
      </c>
      <c r="U331" s="290">
        <f t="shared" si="93"/>
        <v>2.77</v>
      </c>
      <c r="V331" s="276" t="s">
        <v>48</v>
      </c>
    </row>
    <row r="332" spans="1:22" s="172" customFormat="1" ht="20.25" customHeight="1">
      <c r="A332" s="263" t="str">
        <f t="shared" si="90"/>
        <v/>
      </c>
      <c r="B332" s="263"/>
      <c r="C332" s="264">
        <f t="shared" si="98"/>
        <v>331</v>
      </c>
      <c r="D332" s="277" t="s">
        <v>1515</v>
      </c>
      <c r="E332" s="293">
        <f t="shared" si="92"/>
        <v>330</v>
      </c>
      <c r="F332" s="267" t="s">
        <v>61</v>
      </c>
      <c r="G332" s="267"/>
      <c r="H332" s="316">
        <v>18</v>
      </c>
      <c r="I332" s="316"/>
      <c r="J332" s="317">
        <f>J331</f>
        <v>625</v>
      </c>
      <c r="K332" s="317" t="str">
        <f>K331</f>
        <v>mm id</v>
      </c>
      <c r="L332" s="367" t="str">
        <f>J332&amp;" "&amp;K332</f>
        <v>625 mm id</v>
      </c>
      <c r="M332" s="319">
        <v>1</v>
      </c>
      <c r="N332" s="271" t="s">
        <v>81</v>
      </c>
      <c r="O332" s="297">
        <f t="shared" si="102"/>
        <v>1.9637500000000001</v>
      </c>
      <c r="P332" s="271" t="s">
        <v>139</v>
      </c>
      <c r="Q332" s="324">
        <f>VLOOKUP(H332,BM!$B$3:$Y$62,20,FALSE)</f>
        <v>0.5</v>
      </c>
      <c r="R332" s="271" t="s">
        <v>112</v>
      </c>
      <c r="S332" s="290">
        <f t="shared" si="91"/>
        <v>0.98187500000000005</v>
      </c>
      <c r="T332" s="275">
        <v>1</v>
      </c>
      <c r="U332" s="290">
        <f t="shared" si="93"/>
        <v>1.98</v>
      </c>
      <c r="V332" s="276" t="s">
        <v>48</v>
      </c>
    </row>
    <row r="333" spans="1:22" s="172" customFormat="1" ht="20.25" customHeight="1">
      <c r="A333" s="263">
        <f t="shared" si="90"/>
        <v>332</v>
      </c>
      <c r="B333" s="263" t="s">
        <v>1263</v>
      </c>
      <c r="C333" s="264">
        <f t="shared" si="98"/>
        <v>332</v>
      </c>
      <c r="D333" s="265" t="s">
        <v>1516</v>
      </c>
      <c r="E333" s="279">
        <f>C327</f>
        <v>326</v>
      </c>
      <c r="F333" s="267"/>
      <c r="G333" s="267"/>
      <c r="H333" s="268"/>
      <c r="I333" s="268"/>
      <c r="J333" s="269"/>
      <c r="K333" s="269"/>
      <c r="L333" s="269"/>
      <c r="M333" s="319"/>
      <c r="N333" s="271"/>
      <c r="O333" s="280"/>
      <c r="P333" s="271"/>
      <c r="Q333" s="281"/>
      <c r="R333" s="271"/>
      <c r="S333" s="312"/>
      <c r="T333" s="282"/>
      <c r="U333" s="312"/>
      <c r="V333" s="276"/>
    </row>
    <row r="334" spans="1:22" s="172" customFormat="1" ht="20.25" customHeight="1">
      <c r="A334" s="263" t="str">
        <f t="shared" si="90"/>
        <v/>
      </c>
      <c r="B334" s="263"/>
      <c r="C334" s="264">
        <f t="shared" si="98"/>
        <v>333</v>
      </c>
      <c r="D334" s="277" t="s">
        <v>1517</v>
      </c>
      <c r="E334" s="293"/>
      <c r="F334" s="267" t="s">
        <v>299</v>
      </c>
      <c r="G334" s="267"/>
      <c r="H334" s="316">
        <v>18</v>
      </c>
      <c r="I334" s="316"/>
      <c r="J334" s="317">
        <f>J332</f>
        <v>625</v>
      </c>
      <c r="K334" s="317" t="str">
        <f>K332</f>
        <v>mm id</v>
      </c>
      <c r="L334" s="367" t="str">
        <f>J334&amp;" "&amp;K334</f>
        <v>625 mm id</v>
      </c>
      <c r="M334" s="319">
        <v>1</v>
      </c>
      <c r="N334" s="271" t="s">
        <v>81</v>
      </c>
      <c r="O334" s="297">
        <f t="shared" ref="O334:O335" si="103">LEFT(L334,SEARCH(" ",L334,1)-1)*3.142*M334*0.001</f>
        <v>1.9637500000000001</v>
      </c>
      <c r="P334" s="271" t="s">
        <v>139</v>
      </c>
      <c r="Q334" s="324">
        <f>VLOOKUP(H334,BM!$B$3:$Y$62,10,FALSE)</f>
        <v>1</v>
      </c>
      <c r="R334" s="271" t="s">
        <v>112</v>
      </c>
      <c r="S334" s="290">
        <f t="shared" si="91"/>
        <v>1.9637500000000001</v>
      </c>
      <c r="T334" s="275">
        <v>1</v>
      </c>
      <c r="U334" s="290">
        <f t="shared" si="93"/>
        <v>2.96</v>
      </c>
      <c r="V334" s="276" t="s">
        <v>48</v>
      </c>
    </row>
    <row r="335" spans="1:22" s="172" customFormat="1" ht="20.25" customHeight="1">
      <c r="A335" s="263" t="str">
        <f t="shared" si="90"/>
        <v/>
      </c>
      <c r="B335" s="263"/>
      <c r="C335" s="264">
        <f t="shared" si="98"/>
        <v>334</v>
      </c>
      <c r="D335" s="277" t="s">
        <v>1518</v>
      </c>
      <c r="E335" s="293">
        <f t="shared" si="92"/>
        <v>333</v>
      </c>
      <c r="F335" s="267" t="s">
        <v>44</v>
      </c>
      <c r="G335" s="267"/>
      <c r="H335" s="316">
        <v>18</v>
      </c>
      <c r="I335" s="316"/>
      <c r="J335" s="317">
        <f>J332</f>
        <v>625</v>
      </c>
      <c r="K335" s="317" t="str">
        <f>K332</f>
        <v>mm id</v>
      </c>
      <c r="L335" s="367" t="str">
        <f>J335&amp;" "&amp;K335</f>
        <v>625 mm id</v>
      </c>
      <c r="M335" s="319">
        <v>1</v>
      </c>
      <c r="N335" s="271" t="s">
        <v>81</v>
      </c>
      <c r="O335" s="297">
        <f t="shared" si="103"/>
        <v>1.9637500000000001</v>
      </c>
      <c r="P335" s="271" t="s">
        <v>139</v>
      </c>
      <c r="Q335" s="273">
        <v>1</v>
      </c>
      <c r="R335" s="271" t="s">
        <v>112</v>
      </c>
      <c r="S335" s="290">
        <f t="shared" si="91"/>
        <v>1.9637500000000001</v>
      </c>
      <c r="T335" s="275">
        <v>1</v>
      </c>
      <c r="U335" s="290">
        <f t="shared" si="93"/>
        <v>2.96</v>
      </c>
      <c r="V335" s="276" t="s">
        <v>48</v>
      </c>
    </row>
    <row r="336" spans="1:22" s="172" customFormat="1" ht="20.25" customHeight="1">
      <c r="A336" s="263">
        <f t="shared" si="90"/>
        <v>335</v>
      </c>
      <c r="B336" s="263" t="s">
        <v>1263</v>
      </c>
      <c r="C336" s="264">
        <f t="shared" si="98"/>
        <v>335</v>
      </c>
      <c r="D336" s="265" t="s">
        <v>1519</v>
      </c>
      <c r="E336" s="279">
        <f>C333</f>
        <v>332</v>
      </c>
      <c r="F336" s="267"/>
      <c r="G336" s="267"/>
      <c r="H336" s="268"/>
      <c r="I336" s="268"/>
      <c r="J336" s="269"/>
      <c r="K336" s="269"/>
      <c r="L336" s="269"/>
      <c r="M336" s="319"/>
      <c r="N336" s="271"/>
      <c r="O336" s="272"/>
      <c r="P336" s="271"/>
      <c r="Q336" s="273"/>
      <c r="R336" s="271"/>
      <c r="S336" s="290">
        <f t="shared" si="91"/>
        <v>0</v>
      </c>
      <c r="T336" s="275"/>
      <c r="U336" s="307"/>
      <c r="V336" s="276"/>
    </row>
    <row r="337" spans="1:22" s="172" customFormat="1" ht="20.25" customHeight="1">
      <c r="A337" s="263" t="str">
        <f t="shared" si="90"/>
        <v/>
      </c>
      <c r="B337" s="263"/>
      <c r="C337" s="264">
        <f t="shared" si="98"/>
        <v>336</v>
      </c>
      <c r="D337" s="277" t="s">
        <v>1520</v>
      </c>
      <c r="E337" s="293"/>
      <c r="F337" s="267" t="s">
        <v>44</v>
      </c>
      <c r="G337" s="267"/>
      <c r="H337" s="316">
        <v>18</v>
      </c>
      <c r="I337" s="316"/>
      <c r="J337" s="317">
        <f>J332</f>
        <v>625</v>
      </c>
      <c r="K337" s="317" t="str">
        <f>K332</f>
        <v>mm id</v>
      </c>
      <c r="L337" s="367" t="str">
        <f>J337&amp;" "&amp;K337</f>
        <v>625 mm id</v>
      </c>
      <c r="M337" s="319">
        <v>1</v>
      </c>
      <c r="N337" s="271" t="s">
        <v>81</v>
      </c>
      <c r="O337" s="272">
        <v>1</v>
      </c>
      <c r="P337" s="271" t="s">
        <v>139</v>
      </c>
      <c r="Q337" s="273">
        <v>1</v>
      </c>
      <c r="R337" s="271" t="s">
        <v>112</v>
      </c>
      <c r="S337" s="290">
        <f t="shared" si="91"/>
        <v>1</v>
      </c>
      <c r="T337" s="275">
        <v>1</v>
      </c>
      <c r="U337" s="290">
        <f t="shared" si="93"/>
        <v>2</v>
      </c>
      <c r="V337" s="276" t="s">
        <v>48</v>
      </c>
    </row>
    <row r="338" spans="1:22" s="172" customFormat="1" ht="20.25" customHeight="1">
      <c r="A338" s="263" t="str">
        <f t="shared" si="90"/>
        <v/>
      </c>
      <c r="B338" s="263"/>
      <c r="C338" s="264">
        <f t="shared" si="98"/>
        <v>337</v>
      </c>
      <c r="D338" s="277" t="s">
        <v>1521</v>
      </c>
      <c r="E338" s="293">
        <f t="shared" si="92"/>
        <v>336</v>
      </c>
      <c r="F338" s="267" t="s">
        <v>115</v>
      </c>
      <c r="G338" s="267"/>
      <c r="H338" s="308">
        <f>12</f>
        <v>12</v>
      </c>
      <c r="I338" s="308"/>
      <c r="J338" s="317">
        <f>J335</f>
        <v>625</v>
      </c>
      <c r="K338" s="317" t="str">
        <f>K335</f>
        <v>mm id</v>
      </c>
      <c r="L338" s="367" t="str">
        <f>J338&amp;" "&amp;K338</f>
        <v>625 mm id</v>
      </c>
      <c r="M338" s="319">
        <v>1</v>
      </c>
      <c r="N338" s="271" t="s">
        <v>81</v>
      </c>
      <c r="O338" s="297">
        <f t="shared" ref="O338:O341" si="104">LEFT(L338,SEARCH(" ",L338,1)-1)*3.142*M338*0.001</f>
        <v>1.9637500000000001</v>
      </c>
      <c r="P338" s="271" t="s">
        <v>139</v>
      </c>
      <c r="Q338" s="324">
        <f>VLOOKUP(H338,BM!$B$3:$Y$62,17,FALSE)</f>
        <v>2.5</v>
      </c>
      <c r="R338" s="271" t="s">
        <v>112</v>
      </c>
      <c r="S338" s="290">
        <f t="shared" si="91"/>
        <v>4.9093750000000007</v>
      </c>
      <c r="T338" s="275">
        <v>1</v>
      </c>
      <c r="U338" s="290">
        <f t="shared" si="93"/>
        <v>5.91</v>
      </c>
      <c r="V338" s="276" t="s">
        <v>48</v>
      </c>
    </row>
    <row r="339" spans="1:22" s="172" customFormat="1" ht="20.25" customHeight="1">
      <c r="A339" s="263" t="str">
        <f t="shared" si="90"/>
        <v/>
      </c>
      <c r="B339" s="263"/>
      <c r="C339" s="264">
        <f t="shared" si="98"/>
        <v>338</v>
      </c>
      <c r="D339" s="277" t="s">
        <v>1522</v>
      </c>
      <c r="E339" s="293">
        <f t="shared" si="92"/>
        <v>337</v>
      </c>
      <c r="F339" s="267" t="s">
        <v>61</v>
      </c>
      <c r="G339" s="267"/>
      <c r="H339" s="308">
        <f>18</f>
        <v>18</v>
      </c>
      <c r="I339" s="308"/>
      <c r="J339" s="317">
        <f>J338</f>
        <v>625</v>
      </c>
      <c r="K339" s="317" t="str">
        <f>K338</f>
        <v>mm id</v>
      </c>
      <c r="L339" s="367" t="str">
        <f>J339&amp;" "&amp;K339</f>
        <v>625 mm id</v>
      </c>
      <c r="M339" s="319">
        <v>1</v>
      </c>
      <c r="N339" s="271" t="s">
        <v>81</v>
      </c>
      <c r="O339" s="297">
        <f t="shared" si="104"/>
        <v>1.9637500000000001</v>
      </c>
      <c r="P339" s="271" t="s">
        <v>139</v>
      </c>
      <c r="Q339" s="324">
        <f>VLOOKUP(H339,BM!$B$3:$Y$62,18,FALSE)</f>
        <v>1</v>
      </c>
      <c r="R339" s="271" t="s">
        <v>112</v>
      </c>
      <c r="S339" s="290">
        <f t="shared" si="91"/>
        <v>1.9637500000000001</v>
      </c>
      <c r="T339" s="275">
        <v>1</v>
      </c>
      <c r="U339" s="290">
        <f t="shared" si="93"/>
        <v>2.96</v>
      </c>
      <c r="V339" s="276" t="s">
        <v>48</v>
      </c>
    </row>
    <row r="340" spans="1:22" s="172" customFormat="1" ht="20.25" customHeight="1">
      <c r="A340" s="263" t="str">
        <f t="shared" si="90"/>
        <v/>
      </c>
      <c r="B340" s="263"/>
      <c r="C340" s="264">
        <f t="shared" si="98"/>
        <v>339</v>
      </c>
      <c r="D340" s="277" t="s">
        <v>1523</v>
      </c>
      <c r="E340" s="293">
        <f t="shared" si="92"/>
        <v>338</v>
      </c>
      <c r="F340" s="267" t="s">
        <v>115</v>
      </c>
      <c r="G340" s="267"/>
      <c r="H340" s="316">
        <v>6</v>
      </c>
      <c r="I340" s="316"/>
      <c r="J340" s="317">
        <f>J339</f>
        <v>625</v>
      </c>
      <c r="K340" s="317" t="str">
        <f>K339</f>
        <v>mm id</v>
      </c>
      <c r="L340" s="367" t="str">
        <f>J340&amp;" "&amp;K340</f>
        <v>625 mm id</v>
      </c>
      <c r="M340" s="319">
        <v>1</v>
      </c>
      <c r="N340" s="271" t="s">
        <v>81</v>
      </c>
      <c r="O340" s="297">
        <f t="shared" si="104"/>
        <v>1.9637500000000001</v>
      </c>
      <c r="P340" s="271" t="s">
        <v>139</v>
      </c>
      <c r="Q340" s="324">
        <f>VLOOKUP(H340,BM!$B$3:$Y$62,17,FALSE)</f>
        <v>0.9</v>
      </c>
      <c r="R340" s="271" t="s">
        <v>112</v>
      </c>
      <c r="S340" s="290">
        <f t="shared" si="91"/>
        <v>1.7673750000000001</v>
      </c>
      <c r="T340" s="275">
        <v>1</v>
      </c>
      <c r="U340" s="290">
        <f t="shared" si="93"/>
        <v>2.77</v>
      </c>
      <c r="V340" s="276" t="s">
        <v>48</v>
      </c>
    </row>
    <row r="341" spans="1:22" s="172" customFormat="1" ht="20.25" customHeight="1">
      <c r="A341" s="263" t="str">
        <f t="shared" si="90"/>
        <v/>
      </c>
      <c r="B341" s="263"/>
      <c r="C341" s="264">
        <f t="shared" si="98"/>
        <v>340</v>
      </c>
      <c r="D341" s="277" t="s">
        <v>1524</v>
      </c>
      <c r="E341" s="293">
        <f t="shared" si="92"/>
        <v>339</v>
      </c>
      <c r="F341" s="267" t="s">
        <v>61</v>
      </c>
      <c r="G341" s="267"/>
      <c r="H341" s="316">
        <v>18</v>
      </c>
      <c r="I341" s="316"/>
      <c r="J341" s="317">
        <f>J340</f>
        <v>625</v>
      </c>
      <c r="K341" s="317" t="str">
        <f>K340</f>
        <v>mm id</v>
      </c>
      <c r="L341" s="367" t="str">
        <f>J341&amp;" "&amp;K341</f>
        <v>625 mm id</v>
      </c>
      <c r="M341" s="319">
        <v>1</v>
      </c>
      <c r="N341" s="271" t="s">
        <v>81</v>
      </c>
      <c r="O341" s="297">
        <f t="shared" si="104"/>
        <v>1.9637500000000001</v>
      </c>
      <c r="P341" s="271" t="s">
        <v>139</v>
      </c>
      <c r="Q341" s="324">
        <f>VLOOKUP(H341,BM!$B$3:$Y$62,20,FALSE)</f>
        <v>0.5</v>
      </c>
      <c r="R341" s="271" t="s">
        <v>112</v>
      </c>
      <c r="S341" s="290">
        <f t="shared" si="91"/>
        <v>0.98187500000000005</v>
      </c>
      <c r="T341" s="275">
        <v>1</v>
      </c>
      <c r="U341" s="290">
        <f t="shared" si="93"/>
        <v>1.98</v>
      </c>
      <c r="V341" s="276" t="s">
        <v>48</v>
      </c>
    </row>
    <row r="342" spans="1:22" s="172" customFormat="1" ht="20.25" customHeight="1">
      <c r="A342" s="263">
        <f t="shared" si="90"/>
        <v>341</v>
      </c>
      <c r="B342" s="263" t="s">
        <v>1263</v>
      </c>
      <c r="C342" s="264">
        <f t="shared" si="98"/>
        <v>341</v>
      </c>
      <c r="D342" s="265" t="s">
        <v>1525</v>
      </c>
      <c r="E342" s="279">
        <f>C336</f>
        <v>335</v>
      </c>
      <c r="F342" s="267"/>
      <c r="G342" s="267"/>
      <c r="H342" s="268"/>
      <c r="I342" s="268"/>
      <c r="J342" s="269"/>
      <c r="K342" s="269"/>
      <c r="L342" s="269"/>
      <c r="M342" s="319"/>
      <c r="N342" s="271"/>
      <c r="O342" s="280"/>
      <c r="P342" s="271"/>
      <c r="Q342" s="281"/>
      <c r="R342" s="271"/>
      <c r="S342" s="312"/>
      <c r="T342" s="282"/>
      <c r="U342" s="312"/>
      <c r="V342" s="276"/>
    </row>
    <row r="343" spans="1:22" s="172" customFormat="1" ht="20.25" customHeight="1">
      <c r="A343" s="263" t="str">
        <f t="shared" si="90"/>
        <v/>
      </c>
      <c r="B343" s="263"/>
      <c r="C343" s="264">
        <f t="shared" si="98"/>
        <v>342</v>
      </c>
      <c r="D343" s="277" t="s">
        <v>1526</v>
      </c>
      <c r="E343" s="293"/>
      <c r="F343" s="267" t="s">
        <v>299</v>
      </c>
      <c r="G343" s="267"/>
      <c r="H343" s="316">
        <v>18</v>
      </c>
      <c r="I343" s="316"/>
      <c r="J343" s="317">
        <f>J341</f>
        <v>625</v>
      </c>
      <c r="K343" s="317" t="str">
        <f>K341</f>
        <v>mm id</v>
      </c>
      <c r="L343" s="367" t="str">
        <f>J343&amp;" "&amp;K343</f>
        <v>625 mm id</v>
      </c>
      <c r="M343" s="319">
        <v>1</v>
      </c>
      <c r="N343" s="271" t="s">
        <v>81</v>
      </c>
      <c r="O343" s="297">
        <f t="shared" ref="O343:O344" si="105">LEFT(L343,SEARCH(" ",L343,1)-1)*3.142*M343*0.001</f>
        <v>1.9637500000000001</v>
      </c>
      <c r="P343" s="271" t="s">
        <v>139</v>
      </c>
      <c r="Q343" s="324">
        <f>VLOOKUP(H343,BM!$B$3:$Y$62,10,FALSE)</f>
        <v>1</v>
      </c>
      <c r="R343" s="271" t="s">
        <v>112</v>
      </c>
      <c r="S343" s="290">
        <f t="shared" si="91"/>
        <v>1.9637500000000001</v>
      </c>
      <c r="T343" s="275">
        <v>1</v>
      </c>
      <c r="U343" s="290">
        <f t="shared" si="93"/>
        <v>2.96</v>
      </c>
      <c r="V343" s="276" t="s">
        <v>48</v>
      </c>
    </row>
    <row r="344" spans="1:22" s="172" customFormat="1" ht="20.25" customHeight="1">
      <c r="A344" s="263" t="str">
        <f t="shared" si="90"/>
        <v/>
      </c>
      <c r="B344" s="263"/>
      <c r="C344" s="264">
        <f t="shared" si="98"/>
        <v>343</v>
      </c>
      <c r="D344" s="277" t="s">
        <v>1527</v>
      </c>
      <c r="E344" s="293">
        <f t="shared" si="92"/>
        <v>342</v>
      </c>
      <c r="F344" s="267" t="s">
        <v>44</v>
      </c>
      <c r="G344" s="267"/>
      <c r="H344" s="316">
        <v>18</v>
      </c>
      <c r="I344" s="316"/>
      <c r="J344" s="317">
        <f>J341</f>
        <v>625</v>
      </c>
      <c r="K344" s="317" t="str">
        <f>K341</f>
        <v>mm id</v>
      </c>
      <c r="L344" s="367" t="str">
        <f>J344&amp;" "&amp;K344</f>
        <v>625 mm id</v>
      </c>
      <c r="M344" s="319">
        <v>1</v>
      </c>
      <c r="N344" s="271" t="s">
        <v>81</v>
      </c>
      <c r="O344" s="297">
        <f t="shared" si="105"/>
        <v>1.9637500000000001</v>
      </c>
      <c r="P344" s="271" t="s">
        <v>139</v>
      </c>
      <c r="Q344" s="273">
        <v>1</v>
      </c>
      <c r="R344" s="271" t="s">
        <v>112</v>
      </c>
      <c r="S344" s="290">
        <f t="shared" si="91"/>
        <v>1.9637500000000001</v>
      </c>
      <c r="T344" s="275">
        <v>1</v>
      </c>
      <c r="U344" s="290">
        <f t="shared" si="93"/>
        <v>2.96</v>
      </c>
      <c r="V344" s="276" t="s">
        <v>48</v>
      </c>
    </row>
    <row r="345" spans="1:22" s="172" customFormat="1" ht="20.25" customHeight="1">
      <c r="A345" s="263">
        <f t="shared" si="90"/>
        <v>344</v>
      </c>
      <c r="B345" s="263" t="s">
        <v>1263</v>
      </c>
      <c r="C345" s="264">
        <f t="shared" si="98"/>
        <v>344</v>
      </c>
      <c r="D345" s="265" t="s">
        <v>1528</v>
      </c>
      <c r="E345" s="279">
        <f>C342</f>
        <v>341</v>
      </c>
      <c r="F345" s="267"/>
      <c r="G345" s="267"/>
      <c r="H345" s="268"/>
      <c r="I345" s="268"/>
      <c r="J345" s="269"/>
      <c r="K345" s="269"/>
      <c r="L345" s="269"/>
      <c r="M345" s="319"/>
      <c r="N345" s="271"/>
      <c r="O345" s="280"/>
      <c r="P345" s="271"/>
      <c r="Q345" s="281"/>
      <c r="R345" s="271"/>
      <c r="S345" s="312"/>
      <c r="T345" s="282"/>
      <c r="U345" s="312"/>
      <c r="V345" s="276"/>
    </row>
    <row r="346" spans="1:22" s="172" customFormat="1" ht="20.25" customHeight="1">
      <c r="A346" s="263" t="str">
        <f t="shared" si="90"/>
        <v/>
      </c>
      <c r="B346" s="263"/>
      <c r="C346" s="264">
        <f t="shared" si="98"/>
        <v>345</v>
      </c>
      <c r="D346" s="277" t="s">
        <v>1529</v>
      </c>
      <c r="E346" s="293"/>
      <c r="F346" s="267" t="s">
        <v>44</v>
      </c>
      <c r="G346" s="267"/>
      <c r="H346" s="316">
        <v>18</v>
      </c>
      <c r="I346" s="316"/>
      <c r="J346" s="317">
        <f>J344</f>
        <v>625</v>
      </c>
      <c r="K346" s="317" t="str">
        <f>K344</f>
        <v>mm id</v>
      </c>
      <c r="L346" s="367" t="str">
        <f>J346&amp;" "&amp;K346</f>
        <v>625 mm id</v>
      </c>
      <c r="M346" s="319">
        <v>1</v>
      </c>
      <c r="N346" s="271" t="s">
        <v>81</v>
      </c>
      <c r="O346" s="272">
        <v>1</v>
      </c>
      <c r="P346" s="271" t="s">
        <v>139</v>
      </c>
      <c r="Q346" s="273">
        <v>1</v>
      </c>
      <c r="R346" s="271" t="s">
        <v>112</v>
      </c>
      <c r="S346" s="290">
        <f t="shared" si="91"/>
        <v>1</v>
      </c>
      <c r="T346" s="275">
        <v>1</v>
      </c>
      <c r="U346" s="290">
        <f t="shared" si="93"/>
        <v>2</v>
      </c>
      <c r="V346" s="276" t="s">
        <v>48</v>
      </c>
    </row>
    <row r="347" spans="1:22" s="172" customFormat="1" ht="20.25" customHeight="1">
      <c r="A347" s="263" t="str">
        <f t="shared" si="90"/>
        <v/>
      </c>
      <c r="B347" s="263"/>
      <c r="C347" s="264">
        <f t="shared" si="98"/>
        <v>346</v>
      </c>
      <c r="D347" s="277" t="s">
        <v>1530</v>
      </c>
      <c r="E347" s="293">
        <f t="shared" si="92"/>
        <v>345</v>
      </c>
      <c r="F347" s="267" t="s">
        <v>115</v>
      </c>
      <c r="G347" s="267"/>
      <c r="H347" s="308">
        <f>12</f>
        <v>12</v>
      </c>
      <c r="I347" s="308"/>
      <c r="J347" s="317">
        <f>J346</f>
        <v>625</v>
      </c>
      <c r="K347" s="317" t="str">
        <f>K346</f>
        <v>mm id</v>
      </c>
      <c r="L347" s="367" t="str">
        <f>J347&amp;" "&amp;K347</f>
        <v>625 mm id</v>
      </c>
      <c r="M347" s="319">
        <v>1</v>
      </c>
      <c r="N347" s="271" t="s">
        <v>81</v>
      </c>
      <c r="O347" s="297">
        <f t="shared" ref="O347:O350" si="106">LEFT(L347,SEARCH(" ",L347,1)-1)*3.142*M347*0.001</f>
        <v>1.9637500000000001</v>
      </c>
      <c r="P347" s="271" t="s">
        <v>139</v>
      </c>
      <c r="Q347" s="324">
        <f>VLOOKUP(H347,BM!$B$3:$Y$62,17,FALSE)</f>
        <v>2.5</v>
      </c>
      <c r="R347" s="271" t="s">
        <v>112</v>
      </c>
      <c r="S347" s="290">
        <f t="shared" si="91"/>
        <v>4.9093750000000007</v>
      </c>
      <c r="T347" s="275">
        <v>1</v>
      </c>
      <c r="U347" s="290">
        <f t="shared" si="93"/>
        <v>5.91</v>
      </c>
      <c r="V347" s="276" t="s">
        <v>48</v>
      </c>
    </row>
    <row r="348" spans="1:22" s="172" customFormat="1" ht="20.25" customHeight="1">
      <c r="A348" s="263" t="str">
        <f t="shared" ref="A348:A411" si="107">IF(B348="Yes",C348,"")</f>
        <v/>
      </c>
      <c r="B348" s="263"/>
      <c r="C348" s="264">
        <f t="shared" si="98"/>
        <v>347</v>
      </c>
      <c r="D348" s="277" t="s">
        <v>1531</v>
      </c>
      <c r="E348" s="293">
        <f t="shared" si="92"/>
        <v>346</v>
      </c>
      <c r="F348" s="267" t="s">
        <v>61</v>
      </c>
      <c r="G348" s="267"/>
      <c r="H348" s="308">
        <f>18</f>
        <v>18</v>
      </c>
      <c r="I348" s="308"/>
      <c r="J348" s="317">
        <f>J347</f>
        <v>625</v>
      </c>
      <c r="K348" s="317" t="str">
        <f>K347</f>
        <v>mm id</v>
      </c>
      <c r="L348" s="367" t="str">
        <f>J348&amp;" "&amp;K348</f>
        <v>625 mm id</v>
      </c>
      <c r="M348" s="319">
        <v>1</v>
      </c>
      <c r="N348" s="271" t="s">
        <v>81</v>
      </c>
      <c r="O348" s="297">
        <f t="shared" si="106"/>
        <v>1.9637500000000001</v>
      </c>
      <c r="P348" s="271" t="s">
        <v>139</v>
      </c>
      <c r="Q348" s="324">
        <f>VLOOKUP(H348,BM!$B$3:$Y$62,18,FALSE)</f>
        <v>1</v>
      </c>
      <c r="R348" s="271" t="s">
        <v>112</v>
      </c>
      <c r="S348" s="290">
        <f t="shared" si="91"/>
        <v>1.9637500000000001</v>
      </c>
      <c r="T348" s="275">
        <v>1</v>
      </c>
      <c r="U348" s="290">
        <f t="shared" si="93"/>
        <v>2.96</v>
      </c>
      <c r="V348" s="276" t="s">
        <v>48</v>
      </c>
    </row>
    <row r="349" spans="1:22" s="172" customFormat="1" ht="20.25" customHeight="1">
      <c r="A349" s="263" t="str">
        <f t="shared" si="107"/>
        <v/>
      </c>
      <c r="B349" s="263"/>
      <c r="C349" s="264">
        <f t="shared" si="98"/>
        <v>348</v>
      </c>
      <c r="D349" s="277" t="s">
        <v>1532</v>
      </c>
      <c r="E349" s="293">
        <f t="shared" si="92"/>
        <v>347</v>
      </c>
      <c r="F349" s="267" t="s">
        <v>115</v>
      </c>
      <c r="G349" s="267"/>
      <c r="H349" s="316">
        <v>6</v>
      </c>
      <c r="I349" s="316"/>
      <c r="J349" s="317">
        <f>J348</f>
        <v>625</v>
      </c>
      <c r="K349" s="317" t="str">
        <f>K348</f>
        <v>mm id</v>
      </c>
      <c r="L349" s="367" t="str">
        <f>J349&amp;" "&amp;K349</f>
        <v>625 mm id</v>
      </c>
      <c r="M349" s="319">
        <v>1</v>
      </c>
      <c r="N349" s="271" t="s">
        <v>81</v>
      </c>
      <c r="O349" s="297">
        <f t="shared" si="106"/>
        <v>1.9637500000000001</v>
      </c>
      <c r="P349" s="271" t="s">
        <v>139</v>
      </c>
      <c r="Q349" s="324">
        <f>VLOOKUP(H349,BM!$B$3:$Y$62,17,FALSE)</f>
        <v>0.9</v>
      </c>
      <c r="R349" s="271" t="s">
        <v>112</v>
      </c>
      <c r="S349" s="290">
        <f t="shared" ref="S349:S412" si="108">O349*Q349</f>
        <v>1.7673750000000001</v>
      </c>
      <c r="T349" s="275">
        <v>1</v>
      </c>
      <c r="U349" s="290">
        <f t="shared" si="93"/>
        <v>2.77</v>
      </c>
      <c r="V349" s="276" t="s">
        <v>48</v>
      </c>
    </row>
    <row r="350" spans="1:22" s="172" customFormat="1" ht="20.25" customHeight="1">
      <c r="A350" s="263" t="str">
        <f t="shared" si="107"/>
        <v/>
      </c>
      <c r="B350" s="263"/>
      <c r="C350" s="264">
        <f t="shared" si="98"/>
        <v>349</v>
      </c>
      <c r="D350" s="277" t="s">
        <v>1533</v>
      </c>
      <c r="E350" s="293">
        <f t="shared" ref="E350:E412" si="109">C349</f>
        <v>348</v>
      </c>
      <c r="F350" s="267" t="s">
        <v>61</v>
      </c>
      <c r="G350" s="267"/>
      <c r="H350" s="316">
        <v>18</v>
      </c>
      <c r="I350" s="316"/>
      <c r="J350" s="317">
        <f>J349</f>
        <v>625</v>
      </c>
      <c r="K350" s="317" t="str">
        <f>K349</f>
        <v>mm id</v>
      </c>
      <c r="L350" s="367" t="str">
        <f>J350&amp;" "&amp;K350</f>
        <v>625 mm id</v>
      </c>
      <c r="M350" s="319">
        <v>1</v>
      </c>
      <c r="N350" s="271" t="s">
        <v>81</v>
      </c>
      <c r="O350" s="297">
        <f t="shared" si="106"/>
        <v>1.9637500000000001</v>
      </c>
      <c r="P350" s="271" t="s">
        <v>139</v>
      </c>
      <c r="Q350" s="324">
        <f>VLOOKUP(H350,BM!$B$3:$Y$62,20,FALSE)</f>
        <v>0.5</v>
      </c>
      <c r="R350" s="271" t="s">
        <v>112</v>
      </c>
      <c r="S350" s="290">
        <f t="shared" si="108"/>
        <v>0.98187500000000005</v>
      </c>
      <c r="T350" s="275">
        <v>1</v>
      </c>
      <c r="U350" s="290">
        <f t="shared" ref="U350:U412" si="110">ROUND(S350+T350,2)</f>
        <v>1.98</v>
      </c>
      <c r="V350" s="276" t="s">
        <v>48</v>
      </c>
    </row>
    <row r="351" spans="1:22" s="172" customFormat="1" ht="20.25" customHeight="1">
      <c r="A351" s="263">
        <f t="shared" si="107"/>
        <v>350</v>
      </c>
      <c r="B351" s="263" t="s">
        <v>1263</v>
      </c>
      <c r="C351" s="264">
        <f t="shared" si="98"/>
        <v>350</v>
      </c>
      <c r="D351" s="265" t="s">
        <v>1534</v>
      </c>
      <c r="E351" s="279">
        <f>C345</f>
        <v>344</v>
      </c>
      <c r="F351" s="267"/>
      <c r="G351" s="267"/>
      <c r="H351" s="268"/>
      <c r="I351" s="268"/>
      <c r="J351" s="269"/>
      <c r="K351" s="269"/>
      <c r="L351" s="269"/>
      <c r="M351" s="319"/>
      <c r="N351" s="271"/>
      <c r="O351" s="280"/>
      <c r="P351" s="271"/>
      <c r="Q351" s="281"/>
      <c r="R351" s="271"/>
      <c r="S351" s="312"/>
      <c r="T351" s="282"/>
      <c r="U351" s="312"/>
      <c r="V351" s="276"/>
    </row>
    <row r="352" spans="1:22" s="172" customFormat="1" ht="20.25" customHeight="1">
      <c r="A352" s="263" t="str">
        <f t="shared" si="107"/>
        <v/>
      </c>
      <c r="B352" s="263"/>
      <c r="C352" s="264">
        <f t="shared" si="98"/>
        <v>351</v>
      </c>
      <c r="D352" s="277" t="s">
        <v>1535</v>
      </c>
      <c r="E352" s="293"/>
      <c r="F352" s="267" t="s">
        <v>348</v>
      </c>
      <c r="G352" s="267"/>
      <c r="H352" s="316">
        <v>18</v>
      </c>
      <c r="I352" s="316"/>
      <c r="J352" s="317">
        <f>J350</f>
        <v>625</v>
      </c>
      <c r="K352" s="317" t="str">
        <f>K350</f>
        <v>mm id</v>
      </c>
      <c r="L352" s="367" t="str">
        <f>J352&amp;" "&amp;K352</f>
        <v>625 mm id</v>
      </c>
      <c r="M352" s="319">
        <v>1</v>
      </c>
      <c r="N352" s="296" t="s">
        <v>81</v>
      </c>
      <c r="O352" s="272">
        <v>1</v>
      </c>
      <c r="P352" s="296" t="s">
        <v>81</v>
      </c>
      <c r="Q352" s="273">
        <v>4</v>
      </c>
      <c r="R352" s="271" t="s">
        <v>112</v>
      </c>
      <c r="S352" s="290">
        <f t="shared" si="108"/>
        <v>4</v>
      </c>
      <c r="T352" s="275">
        <v>1</v>
      </c>
      <c r="U352" s="290">
        <f t="shared" si="110"/>
        <v>5</v>
      </c>
      <c r="V352" s="276" t="s">
        <v>48</v>
      </c>
    </row>
    <row r="353" spans="1:22" s="172" customFormat="1" ht="20.25" customHeight="1">
      <c r="A353" s="263" t="str">
        <f t="shared" si="107"/>
        <v/>
      </c>
      <c r="B353" s="263"/>
      <c r="C353" s="264">
        <f t="shared" si="98"/>
        <v>352</v>
      </c>
      <c r="D353" s="277" t="s">
        <v>1536</v>
      </c>
      <c r="E353" s="293">
        <f t="shared" si="109"/>
        <v>351</v>
      </c>
      <c r="F353" s="267" t="s">
        <v>52</v>
      </c>
      <c r="G353" s="267"/>
      <c r="H353" s="316">
        <v>18</v>
      </c>
      <c r="I353" s="316"/>
      <c r="J353" s="317">
        <f>J352</f>
        <v>625</v>
      </c>
      <c r="K353" s="317" t="str">
        <f>K352</f>
        <v>mm id</v>
      </c>
      <c r="L353" s="367" t="str">
        <f>J353&amp;" "&amp;K353</f>
        <v>625 mm id</v>
      </c>
      <c r="M353" s="319">
        <v>1</v>
      </c>
      <c r="N353" s="296" t="s">
        <v>81</v>
      </c>
      <c r="O353" s="297">
        <f t="shared" ref="O353:O357" si="111">LEFT(L353,SEARCH(" ",L353,1)-1)*3.142*M353*0.001</f>
        <v>1.9637500000000001</v>
      </c>
      <c r="P353" s="271" t="s">
        <v>139</v>
      </c>
      <c r="Q353" s="324">
        <f>VLOOKUP(H353,BM!$B$3:$Y$62,5,FALSE)</f>
        <v>0.5</v>
      </c>
      <c r="R353" s="271" t="s">
        <v>112</v>
      </c>
      <c r="S353" s="290">
        <f t="shared" si="108"/>
        <v>0.98187500000000005</v>
      </c>
      <c r="T353" s="275">
        <v>1</v>
      </c>
      <c r="U353" s="290">
        <f t="shared" si="110"/>
        <v>1.98</v>
      </c>
      <c r="V353" s="276" t="s">
        <v>48</v>
      </c>
    </row>
    <row r="354" spans="1:22" s="172" customFormat="1" ht="20.25" customHeight="1">
      <c r="A354" s="263" t="str">
        <f t="shared" si="107"/>
        <v/>
      </c>
      <c r="B354" s="263"/>
      <c r="C354" s="264">
        <f t="shared" si="98"/>
        <v>353</v>
      </c>
      <c r="D354" s="277" t="s">
        <v>1537</v>
      </c>
      <c r="E354" s="293">
        <f t="shared" si="109"/>
        <v>352</v>
      </c>
      <c r="F354" s="267" t="s">
        <v>121</v>
      </c>
      <c r="G354" s="267"/>
      <c r="H354" s="316">
        <v>18</v>
      </c>
      <c r="I354" s="316"/>
      <c r="J354" s="317">
        <f>J353</f>
        <v>625</v>
      </c>
      <c r="K354" s="317" t="str">
        <f>K353</f>
        <v>mm id</v>
      </c>
      <c r="L354" s="367" t="str">
        <f>J354&amp;" "&amp;K354</f>
        <v>625 mm id</v>
      </c>
      <c r="M354" s="319">
        <v>1</v>
      </c>
      <c r="N354" s="296" t="s">
        <v>81</v>
      </c>
      <c r="O354" s="297">
        <f t="shared" si="111"/>
        <v>1.9637500000000001</v>
      </c>
      <c r="P354" s="271" t="s">
        <v>139</v>
      </c>
      <c r="Q354" s="324">
        <f>VLOOKUP(H354,BM!$B$3:$Y$62,5,FALSE)</f>
        <v>0.5</v>
      </c>
      <c r="R354" s="271" t="s">
        <v>112</v>
      </c>
      <c r="S354" s="290">
        <f t="shared" si="108"/>
        <v>0.98187500000000005</v>
      </c>
      <c r="T354" s="275">
        <v>1</v>
      </c>
      <c r="U354" s="290">
        <f t="shared" si="110"/>
        <v>1.98</v>
      </c>
      <c r="V354" s="276" t="s">
        <v>48</v>
      </c>
    </row>
    <row r="355" spans="1:22" s="172" customFormat="1" ht="20.25" customHeight="1">
      <c r="A355" s="263">
        <f t="shared" si="107"/>
        <v>354</v>
      </c>
      <c r="B355" s="263" t="s">
        <v>1263</v>
      </c>
      <c r="C355" s="264">
        <f t="shared" si="98"/>
        <v>354</v>
      </c>
      <c r="D355" s="265" t="s">
        <v>1538</v>
      </c>
      <c r="E355" s="279">
        <f>C351</f>
        <v>350</v>
      </c>
      <c r="F355" s="267"/>
      <c r="G355" s="267"/>
      <c r="H355" s="268"/>
      <c r="I355" s="268"/>
      <c r="J355" s="269"/>
      <c r="K355" s="269"/>
      <c r="L355" s="269"/>
      <c r="M355" s="319"/>
      <c r="N355" s="271"/>
      <c r="O355" s="280"/>
      <c r="P355" s="271"/>
      <c r="Q355" s="281"/>
      <c r="R355" s="271"/>
      <c r="S355" s="312"/>
      <c r="T355" s="282"/>
      <c r="U355" s="312"/>
      <c r="V355" s="276"/>
    </row>
    <row r="356" spans="1:22" s="172" customFormat="1" ht="20.25" customHeight="1">
      <c r="A356" s="263" t="str">
        <f t="shared" si="107"/>
        <v/>
      </c>
      <c r="B356" s="263"/>
      <c r="C356" s="264">
        <f t="shared" si="98"/>
        <v>355</v>
      </c>
      <c r="D356" s="277" t="s">
        <v>1539</v>
      </c>
      <c r="E356" s="293"/>
      <c r="F356" s="267" t="s">
        <v>299</v>
      </c>
      <c r="G356" s="267"/>
      <c r="H356" s="316">
        <v>18</v>
      </c>
      <c r="I356" s="316"/>
      <c r="J356" s="317">
        <f>J354</f>
        <v>625</v>
      </c>
      <c r="K356" s="317" t="str">
        <f>K354</f>
        <v>mm id</v>
      </c>
      <c r="L356" s="367" t="str">
        <f>J356&amp;" "&amp;K356</f>
        <v>625 mm id</v>
      </c>
      <c r="M356" s="319">
        <v>1</v>
      </c>
      <c r="N356" s="271" t="s">
        <v>81</v>
      </c>
      <c r="O356" s="297">
        <f t="shared" si="111"/>
        <v>1.9637500000000001</v>
      </c>
      <c r="P356" s="271" t="s">
        <v>139</v>
      </c>
      <c r="Q356" s="324">
        <f>VLOOKUP(H356,BM!$B$3:$Y$62,10,FALSE)</f>
        <v>1</v>
      </c>
      <c r="R356" s="271" t="s">
        <v>112</v>
      </c>
      <c r="S356" s="290">
        <f t="shared" si="108"/>
        <v>1.9637500000000001</v>
      </c>
      <c r="T356" s="275">
        <v>1</v>
      </c>
      <c r="U356" s="290">
        <f t="shared" si="110"/>
        <v>2.96</v>
      </c>
      <c r="V356" s="276" t="s">
        <v>48</v>
      </c>
    </row>
    <row r="357" spans="1:22" s="172" customFormat="1" ht="20.25" customHeight="1">
      <c r="A357" s="263" t="str">
        <f t="shared" si="107"/>
        <v/>
      </c>
      <c r="B357" s="263"/>
      <c r="C357" s="264">
        <f t="shared" si="98"/>
        <v>356</v>
      </c>
      <c r="D357" s="277" t="s">
        <v>1540</v>
      </c>
      <c r="E357" s="293">
        <f t="shared" si="109"/>
        <v>355</v>
      </c>
      <c r="F357" s="267" t="s">
        <v>44</v>
      </c>
      <c r="G357" s="267"/>
      <c r="H357" s="316">
        <v>18</v>
      </c>
      <c r="I357" s="316"/>
      <c r="J357" s="317">
        <f>J354</f>
        <v>625</v>
      </c>
      <c r="K357" s="317" t="str">
        <f>K354</f>
        <v>mm id</v>
      </c>
      <c r="L357" s="367" t="str">
        <f>J357&amp;" "&amp;K357</f>
        <v>625 mm id</v>
      </c>
      <c r="M357" s="319">
        <v>1</v>
      </c>
      <c r="N357" s="271" t="s">
        <v>81</v>
      </c>
      <c r="O357" s="297">
        <f t="shared" si="111"/>
        <v>1.9637500000000001</v>
      </c>
      <c r="P357" s="271" t="s">
        <v>139</v>
      </c>
      <c r="Q357" s="273">
        <v>1</v>
      </c>
      <c r="R357" s="271" t="s">
        <v>112</v>
      </c>
      <c r="S357" s="290">
        <f t="shared" si="108"/>
        <v>1.9637500000000001</v>
      </c>
      <c r="T357" s="275">
        <v>1</v>
      </c>
      <c r="U357" s="290">
        <f t="shared" si="110"/>
        <v>2.96</v>
      </c>
      <c r="V357" s="276" t="s">
        <v>48</v>
      </c>
    </row>
    <row r="358" spans="1:22" s="172" customFormat="1" ht="20.25" customHeight="1">
      <c r="A358" s="263">
        <f t="shared" si="107"/>
        <v>357</v>
      </c>
      <c r="B358" s="263" t="s">
        <v>1263</v>
      </c>
      <c r="C358" s="264">
        <f t="shared" si="98"/>
        <v>357</v>
      </c>
      <c r="D358" s="265" t="s">
        <v>1541</v>
      </c>
      <c r="E358" s="279">
        <f>C355</f>
        <v>354</v>
      </c>
      <c r="F358" s="267"/>
      <c r="G358" s="267"/>
      <c r="H358" s="268"/>
      <c r="I358" s="268"/>
      <c r="J358" s="269"/>
      <c r="K358" s="269"/>
      <c r="L358" s="269"/>
      <c r="M358" s="319"/>
      <c r="N358" s="271"/>
      <c r="O358" s="280"/>
      <c r="P358" s="271"/>
      <c r="Q358" s="281"/>
      <c r="R358" s="271"/>
      <c r="S358" s="312"/>
      <c r="T358" s="282"/>
      <c r="U358" s="312"/>
      <c r="V358" s="276"/>
    </row>
    <row r="359" spans="1:22" s="172" customFormat="1" ht="20.25" customHeight="1">
      <c r="A359" s="263" t="str">
        <f t="shared" si="107"/>
        <v/>
      </c>
      <c r="B359" s="263"/>
      <c r="C359" s="264">
        <f t="shared" si="98"/>
        <v>358</v>
      </c>
      <c r="D359" s="277" t="s">
        <v>1511</v>
      </c>
      <c r="E359" s="293"/>
      <c r="F359" s="267" t="s">
        <v>44</v>
      </c>
      <c r="G359" s="267"/>
      <c r="H359" s="316">
        <v>12</v>
      </c>
      <c r="I359" s="316"/>
      <c r="J359" s="317">
        <f>J357</f>
        <v>625</v>
      </c>
      <c r="K359" s="317" t="str">
        <f>K357</f>
        <v>mm id</v>
      </c>
      <c r="L359" s="367" t="str">
        <f>J359&amp;" "&amp;K359</f>
        <v>625 mm id</v>
      </c>
      <c r="M359" s="319">
        <v>1</v>
      </c>
      <c r="N359" s="271" t="s">
        <v>81</v>
      </c>
      <c r="O359" s="272">
        <v>1</v>
      </c>
      <c r="P359" s="271" t="s">
        <v>139</v>
      </c>
      <c r="Q359" s="273">
        <v>1</v>
      </c>
      <c r="R359" s="271" t="s">
        <v>112</v>
      </c>
      <c r="S359" s="290">
        <f t="shared" si="108"/>
        <v>1</v>
      </c>
      <c r="T359" s="275">
        <v>1</v>
      </c>
      <c r="U359" s="290">
        <f t="shared" si="110"/>
        <v>2</v>
      </c>
      <c r="V359" s="276" t="s">
        <v>48</v>
      </c>
    </row>
    <row r="360" spans="1:22" s="172" customFormat="1" ht="20.25" customHeight="1">
      <c r="A360" s="263" t="str">
        <f t="shared" si="107"/>
        <v/>
      </c>
      <c r="B360" s="263"/>
      <c r="C360" s="264">
        <f t="shared" si="98"/>
        <v>359</v>
      </c>
      <c r="D360" s="277" t="s">
        <v>1542</v>
      </c>
      <c r="E360" s="293">
        <f t="shared" si="109"/>
        <v>358</v>
      </c>
      <c r="F360" s="267" t="s">
        <v>115</v>
      </c>
      <c r="G360" s="267"/>
      <c r="H360" s="316">
        <v>12</v>
      </c>
      <c r="I360" s="316"/>
      <c r="J360" s="317">
        <f>J359</f>
        <v>625</v>
      </c>
      <c r="K360" s="317" t="str">
        <f>K359</f>
        <v>mm id</v>
      </c>
      <c r="L360" s="367" t="str">
        <f>J360&amp;" "&amp;K360</f>
        <v>625 mm id</v>
      </c>
      <c r="M360" s="319">
        <v>1</v>
      </c>
      <c r="N360" s="271" t="s">
        <v>81</v>
      </c>
      <c r="O360" s="297">
        <f t="shared" ref="O360:O366" si="112">LEFT(L360,SEARCH(" ",L360,1)-1)*3.142*M360*0.001</f>
        <v>1.9637500000000001</v>
      </c>
      <c r="P360" s="271" t="s">
        <v>139</v>
      </c>
      <c r="Q360" s="324">
        <f>VLOOKUP(H360,BM!$B$3:$Y$62,17,FALSE)</f>
        <v>2.5</v>
      </c>
      <c r="R360" s="271" t="s">
        <v>112</v>
      </c>
      <c r="S360" s="290">
        <f t="shared" si="108"/>
        <v>4.9093750000000007</v>
      </c>
      <c r="T360" s="275">
        <v>1</v>
      </c>
      <c r="U360" s="290">
        <f t="shared" si="110"/>
        <v>5.91</v>
      </c>
      <c r="V360" s="276" t="s">
        <v>48</v>
      </c>
    </row>
    <row r="361" spans="1:22" s="172" customFormat="1" ht="20.25" customHeight="1">
      <c r="A361" s="263" t="str">
        <f t="shared" si="107"/>
        <v/>
      </c>
      <c r="B361" s="263"/>
      <c r="C361" s="264">
        <f t="shared" si="98"/>
        <v>360</v>
      </c>
      <c r="D361" s="277" t="s">
        <v>1543</v>
      </c>
      <c r="E361" s="293">
        <f t="shared" si="109"/>
        <v>359</v>
      </c>
      <c r="F361" s="267" t="s">
        <v>61</v>
      </c>
      <c r="G361" s="267"/>
      <c r="H361" s="316">
        <v>18</v>
      </c>
      <c r="I361" s="316"/>
      <c r="J361" s="317">
        <f>J360</f>
        <v>625</v>
      </c>
      <c r="K361" s="317" t="str">
        <f>K360</f>
        <v>mm id</v>
      </c>
      <c r="L361" s="367" t="str">
        <f>J361&amp;" "&amp;K361</f>
        <v>625 mm id</v>
      </c>
      <c r="M361" s="319">
        <v>1</v>
      </c>
      <c r="N361" s="271" t="s">
        <v>81</v>
      </c>
      <c r="O361" s="297">
        <f t="shared" si="112"/>
        <v>1.9637500000000001</v>
      </c>
      <c r="P361" s="271" t="s">
        <v>139</v>
      </c>
      <c r="Q361" s="324">
        <f>VLOOKUP(H361,BM!$B$3:$Y$62,18,FALSE)</f>
        <v>1</v>
      </c>
      <c r="R361" s="271" t="s">
        <v>112</v>
      </c>
      <c r="S361" s="290">
        <f t="shared" si="108"/>
        <v>1.9637500000000001</v>
      </c>
      <c r="T361" s="275">
        <v>1</v>
      </c>
      <c r="U361" s="290">
        <f t="shared" si="110"/>
        <v>2.96</v>
      </c>
      <c r="V361" s="276" t="s">
        <v>48</v>
      </c>
    </row>
    <row r="362" spans="1:22" s="172" customFormat="1" ht="20.25" customHeight="1">
      <c r="A362" s="263" t="str">
        <f t="shared" si="107"/>
        <v/>
      </c>
      <c r="B362" s="263"/>
      <c r="C362" s="264">
        <f t="shared" si="98"/>
        <v>361</v>
      </c>
      <c r="D362" s="277" t="s">
        <v>1544</v>
      </c>
      <c r="E362" s="293">
        <f t="shared" si="109"/>
        <v>360</v>
      </c>
      <c r="F362" s="267" t="s">
        <v>115</v>
      </c>
      <c r="G362" s="267"/>
      <c r="H362" s="316">
        <v>6</v>
      </c>
      <c r="I362" s="316"/>
      <c r="J362" s="317">
        <f>J361</f>
        <v>625</v>
      </c>
      <c r="K362" s="317" t="str">
        <f>K361</f>
        <v>mm id</v>
      </c>
      <c r="L362" s="367" t="str">
        <f>J362&amp;" "&amp;K362</f>
        <v>625 mm id</v>
      </c>
      <c r="M362" s="319">
        <v>1</v>
      </c>
      <c r="N362" s="271" t="s">
        <v>81</v>
      </c>
      <c r="O362" s="297">
        <f t="shared" si="112"/>
        <v>1.9637500000000001</v>
      </c>
      <c r="P362" s="271" t="s">
        <v>139</v>
      </c>
      <c r="Q362" s="324">
        <f>VLOOKUP(H362,BM!$B$3:$Y$62,17,FALSE)</f>
        <v>0.9</v>
      </c>
      <c r="R362" s="271" t="s">
        <v>112</v>
      </c>
      <c r="S362" s="290">
        <f t="shared" si="108"/>
        <v>1.7673750000000001</v>
      </c>
      <c r="T362" s="275">
        <v>1</v>
      </c>
      <c r="U362" s="290">
        <f t="shared" si="110"/>
        <v>2.77</v>
      </c>
      <c r="V362" s="276" t="s">
        <v>48</v>
      </c>
    </row>
    <row r="363" spans="1:22" s="172" customFormat="1" ht="20.25" customHeight="1">
      <c r="A363" s="263" t="str">
        <f t="shared" si="107"/>
        <v/>
      </c>
      <c r="B363" s="263"/>
      <c r="C363" s="264">
        <f t="shared" si="98"/>
        <v>362</v>
      </c>
      <c r="D363" s="277" t="s">
        <v>1545</v>
      </c>
      <c r="E363" s="293">
        <f t="shared" si="109"/>
        <v>361</v>
      </c>
      <c r="F363" s="267" t="s">
        <v>61</v>
      </c>
      <c r="G363" s="267"/>
      <c r="H363" s="316">
        <v>18</v>
      </c>
      <c r="I363" s="316"/>
      <c r="J363" s="317">
        <f>J362</f>
        <v>625</v>
      </c>
      <c r="K363" s="317" t="str">
        <f>K362</f>
        <v>mm id</v>
      </c>
      <c r="L363" s="367" t="str">
        <f>J363&amp;" "&amp;K363</f>
        <v>625 mm id</v>
      </c>
      <c r="M363" s="319">
        <v>1</v>
      </c>
      <c r="N363" s="271" t="s">
        <v>81</v>
      </c>
      <c r="O363" s="297">
        <f t="shared" si="112"/>
        <v>1.9637500000000001</v>
      </c>
      <c r="P363" s="271" t="s">
        <v>139</v>
      </c>
      <c r="Q363" s="324">
        <f>VLOOKUP(H363,BM!$B$3:$Y$62,20,FALSE)</f>
        <v>0.5</v>
      </c>
      <c r="R363" s="271" t="s">
        <v>112</v>
      </c>
      <c r="S363" s="290">
        <f t="shared" si="108"/>
        <v>0.98187500000000005</v>
      </c>
      <c r="T363" s="275">
        <v>1</v>
      </c>
      <c r="U363" s="290">
        <f t="shared" si="110"/>
        <v>1.98</v>
      </c>
      <c r="V363" s="276" t="s">
        <v>48</v>
      </c>
    </row>
    <row r="364" spans="1:22" s="172" customFormat="1" ht="20.25" customHeight="1">
      <c r="A364" s="263">
        <f t="shared" si="107"/>
        <v>363</v>
      </c>
      <c r="B364" s="263" t="s">
        <v>1263</v>
      </c>
      <c r="C364" s="264">
        <f t="shared" si="98"/>
        <v>363</v>
      </c>
      <c r="D364" s="265" t="s">
        <v>1546</v>
      </c>
      <c r="E364" s="279">
        <f>C358</f>
        <v>357</v>
      </c>
      <c r="F364" s="267"/>
      <c r="G364" s="267"/>
      <c r="H364" s="268"/>
      <c r="I364" s="268"/>
      <c r="J364" s="269"/>
      <c r="K364" s="269"/>
      <c r="L364" s="269"/>
      <c r="M364" s="319"/>
      <c r="N364" s="271"/>
      <c r="O364" s="280"/>
      <c r="P364" s="271"/>
      <c r="Q364" s="281"/>
      <c r="R364" s="271"/>
      <c r="S364" s="312"/>
      <c r="T364" s="282"/>
      <c r="U364" s="312"/>
      <c r="V364" s="276"/>
    </row>
    <row r="365" spans="1:22" s="172" customFormat="1" ht="20.25" customHeight="1">
      <c r="A365" s="263" t="str">
        <f t="shared" si="107"/>
        <v/>
      </c>
      <c r="B365" s="263"/>
      <c r="C365" s="264">
        <f t="shared" si="98"/>
        <v>364</v>
      </c>
      <c r="D365" s="277" t="s">
        <v>1547</v>
      </c>
      <c r="E365" s="293"/>
      <c r="F365" s="267" t="s">
        <v>299</v>
      </c>
      <c r="G365" s="267"/>
      <c r="H365" s="316">
        <v>18</v>
      </c>
      <c r="I365" s="316"/>
      <c r="J365" s="317">
        <f>J363</f>
        <v>625</v>
      </c>
      <c r="K365" s="317" t="str">
        <f>K363</f>
        <v>mm id</v>
      </c>
      <c r="L365" s="367" t="str">
        <f>J365&amp;" "&amp;K365</f>
        <v>625 mm id</v>
      </c>
      <c r="M365" s="319">
        <v>1</v>
      </c>
      <c r="N365" s="271" t="s">
        <v>81</v>
      </c>
      <c r="O365" s="297">
        <f t="shared" si="112"/>
        <v>1.9637500000000001</v>
      </c>
      <c r="P365" s="271" t="s">
        <v>139</v>
      </c>
      <c r="Q365" s="324">
        <f>VLOOKUP(H365,BM!$B$3:$Y$62,10,FALSE)</f>
        <v>1</v>
      </c>
      <c r="R365" s="271" t="s">
        <v>112</v>
      </c>
      <c r="S365" s="290">
        <f t="shared" si="108"/>
        <v>1.9637500000000001</v>
      </c>
      <c r="T365" s="275">
        <v>1</v>
      </c>
      <c r="U365" s="290">
        <f t="shared" si="110"/>
        <v>2.96</v>
      </c>
      <c r="V365" s="276" t="s">
        <v>48</v>
      </c>
    </row>
    <row r="366" spans="1:22" s="172" customFormat="1" ht="20.25" customHeight="1">
      <c r="A366" s="263" t="str">
        <f t="shared" si="107"/>
        <v/>
      </c>
      <c r="B366" s="263"/>
      <c r="C366" s="264">
        <f t="shared" si="98"/>
        <v>365</v>
      </c>
      <c r="D366" s="277" t="s">
        <v>1548</v>
      </c>
      <c r="E366" s="293">
        <f t="shared" si="109"/>
        <v>364</v>
      </c>
      <c r="F366" s="267" t="s">
        <v>44</v>
      </c>
      <c r="G366" s="267"/>
      <c r="H366" s="316">
        <v>18</v>
      </c>
      <c r="I366" s="316"/>
      <c r="J366" s="317">
        <f>J365</f>
        <v>625</v>
      </c>
      <c r="K366" s="317" t="str">
        <f>K365</f>
        <v>mm id</v>
      </c>
      <c r="L366" s="367" t="str">
        <f>J366&amp;" "&amp;K366</f>
        <v>625 mm id</v>
      </c>
      <c r="M366" s="319">
        <v>1</v>
      </c>
      <c r="N366" s="271" t="s">
        <v>81</v>
      </c>
      <c r="O366" s="297">
        <f t="shared" si="112"/>
        <v>1.9637500000000001</v>
      </c>
      <c r="P366" s="271" t="s">
        <v>139</v>
      </c>
      <c r="Q366" s="273">
        <v>1</v>
      </c>
      <c r="R366" s="271" t="s">
        <v>112</v>
      </c>
      <c r="S366" s="290">
        <f t="shared" si="108"/>
        <v>1.9637500000000001</v>
      </c>
      <c r="T366" s="275">
        <v>1</v>
      </c>
      <c r="U366" s="290">
        <f t="shared" si="110"/>
        <v>2.96</v>
      </c>
      <c r="V366" s="276" t="s">
        <v>48</v>
      </c>
    </row>
    <row r="367" spans="1:22" s="172" customFormat="1" ht="20.25" customHeight="1">
      <c r="A367" s="263">
        <f t="shared" si="107"/>
        <v>366</v>
      </c>
      <c r="B367" s="263" t="s">
        <v>1263</v>
      </c>
      <c r="C367" s="264">
        <f t="shared" si="98"/>
        <v>366</v>
      </c>
      <c r="D367" s="265" t="s">
        <v>1549</v>
      </c>
      <c r="E367" s="279">
        <f>C364</f>
        <v>363</v>
      </c>
      <c r="F367" s="267"/>
      <c r="G367" s="267"/>
      <c r="H367" s="268"/>
      <c r="I367" s="268"/>
      <c r="J367" s="269"/>
      <c r="K367" s="269"/>
      <c r="L367" s="269"/>
      <c r="M367" s="319"/>
      <c r="N367" s="271"/>
      <c r="O367" s="280"/>
      <c r="P367" s="271"/>
      <c r="Q367" s="281"/>
      <c r="R367" s="271"/>
      <c r="S367" s="312"/>
      <c r="T367" s="282"/>
      <c r="U367" s="312"/>
      <c r="V367" s="276"/>
    </row>
    <row r="368" spans="1:22" s="172" customFormat="1" ht="20.25" customHeight="1">
      <c r="A368" s="263" t="str">
        <f t="shared" si="107"/>
        <v/>
      </c>
      <c r="B368" s="263"/>
      <c r="C368" s="264">
        <f t="shared" si="98"/>
        <v>367</v>
      </c>
      <c r="D368" s="277" t="s">
        <v>1550</v>
      </c>
      <c r="E368" s="293"/>
      <c r="F368" s="267" t="s">
        <v>44</v>
      </c>
      <c r="G368" s="267"/>
      <c r="H368" s="316">
        <v>12</v>
      </c>
      <c r="I368" s="316"/>
      <c r="J368" s="317">
        <f>J366</f>
        <v>625</v>
      </c>
      <c r="K368" s="317" t="str">
        <f>K366</f>
        <v>mm id</v>
      </c>
      <c r="L368" s="367" t="str">
        <f>J368&amp;" "&amp;K368</f>
        <v>625 mm id</v>
      </c>
      <c r="M368" s="319">
        <v>1</v>
      </c>
      <c r="N368" s="271" t="s">
        <v>81</v>
      </c>
      <c r="O368" s="272">
        <v>1</v>
      </c>
      <c r="P368" s="271" t="s">
        <v>249</v>
      </c>
      <c r="Q368" s="273">
        <v>1</v>
      </c>
      <c r="R368" s="271" t="s">
        <v>112</v>
      </c>
      <c r="S368" s="290">
        <f t="shared" si="108"/>
        <v>1</v>
      </c>
      <c r="T368" s="275">
        <v>1</v>
      </c>
      <c r="U368" s="290">
        <f t="shared" si="110"/>
        <v>2</v>
      </c>
      <c r="V368" s="276" t="s">
        <v>48</v>
      </c>
    </row>
    <row r="369" spans="1:22" s="172" customFormat="1" ht="20.25" customHeight="1">
      <c r="A369" s="263" t="str">
        <f t="shared" si="107"/>
        <v/>
      </c>
      <c r="B369" s="263"/>
      <c r="C369" s="264">
        <f t="shared" si="98"/>
        <v>368</v>
      </c>
      <c r="D369" s="277" t="s">
        <v>1551</v>
      </c>
      <c r="E369" s="293">
        <f t="shared" si="109"/>
        <v>367</v>
      </c>
      <c r="F369" s="267" t="s">
        <v>115</v>
      </c>
      <c r="G369" s="267"/>
      <c r="H369" s="316">
        <v>12</v>
      </c>
      <c r="I369" s="316"/>
      <c r="J369" s="317">
        <f>J368</f>
        <v>625</v>
      </c>
      <c r="K369" s="317" t="str">
        <f>K368</f>
        <v>mm id</v>
      </c>
      <c r="L369" s="367" t="str">
        <f>J369&amp;" "&amp;K369</f>
        <v>625 mm id</v>
      </c>
      <c r="M369" s="319">
        <v>1</v>
      </c>
      <c r="N369" s="271" t="s">
        <v>81</v>
      </c>
      <c r="O369" s="297">
        <f t="shared" ref="O369:O372" si="113">LEFT(L369,SEARCH(" ",L369,1)-1)*3.142*M369*0.001</f>
        <v>1.9637500000000001</v>
      </c>
      <c r="P369" s="271" t="s">
        <v>249</v>
      </c>
      <c r="Q369" s="324">
        <f>VLOOKUP(H369,BM!$B$3:$Y$62,17,FALSE)</f>
        <v>2.5</v>
      </c>
      <c r="R369" s="271" t="s">
        <v>112</v>
      </c>
      <c r="S369" s="290">
        <f t="shared" si="108"/>
        <v>4.9093750000000007</v>
      </c>
      <c r="T369" s="275">
        <v>1</v>
      </c>
      <c r="U369" s="290">
        <f t="shared" si="110"/>
        <v>5.91</v>
      </c>
      <c r="V369" s="276" t="s">
        <v>48</v>
      </c>
    </row>
    <row r="370" spans="1:22" s="172" customFormat="1" ht="20.25" customHeight="1">
      <c r="A370" s="263" t="str">
        <f t="shared" si="107"/>
        <v/>
      </c>
      <c r="B370" s="263"/>
      <c r="C370" s="264">
        <f t="shared" si="98"/>
        <v>369</v>
      </c>
      <c r="D370" s="277" t="s">
        <v>1552</v>
      </c>
      <c r="E370" s="293">
        <f t="shared" si="109"/>
        <v>368</v>
      </c>
      <c r="F370" s="267" t="s">
        <v>61</v>
      </c>
      <c r="G370" s="267"/>
      <c r="H370" s="316">
        <v>18</v>
      </c>
      <c r="I370" s="316"/>
      <c r="J370" s="317">
        <f>J369</f>
        <v>625</v>
      </c>
      <c r="K370" s="317" t="str">
        <f>K369</f>
        <v>mm id</v>
      </c>
      <c r="L370" s="367" t="str">
        <f>J370&amp;" "&amp;K370</f>
        <v>625 mm id</v>
      </c>
      <c r="M370" s="319">
        <v>1</v>
      </c>
      <c r="N370" s="271" t="s">
        <v>81</v>
      </c>
      <c r="O370" s="297">
        <f t="shared" si="113"/>
        <v>1.9637500000000001</v>
      </c>
      <c r="P370" s="271" t="s">
        <v>249</v>
      </c>
      <c r="Q370" s="324">
        <f>VLOOKUP(H370,BM!$B$3:$Y$62,18,FALSE)</f>
        <v>1</v>
      </c>
      <c r="R370" s="271" t="s">
        <v>112</v>
      </c>
      <c r="S370" s="290">
        <f t="shared" si="108"/>
        <v>1.9637500000000001</v>
      </c>
      <c r="T370" s="275">
        <v>1</v>
      </c>
      <c r="U370" s="290">
        <f t="shared" si="110"/>
        <v>2.96</v>
      </c>
      <c r="V370" s="276" t="s">
        <v>48</v>
      </c>
    </row>
    <row r="371" spans="1:22" s="172" customFormat="1" ht="20.25" customHeight="1">
      <c r="A371" s="263" t="str">
        <f t="shared" si="107"/>
        <v/>
      </c>
      <c r="B371" s="263"/>
      <c r="C371" s="264">
        <f t="shared" si="98"/>
        <v>370</v>
      </c>
      <c r="D371" s="277" t="s">
        <v>1553</v>
      </c>
      <c r="E371" s="293">
        <f t="shared" si="109"/>
        <v>369</v>
      </c>
      <c r="F371" s="267" t="s">
        <v>115</v>
      </c>
      <c r="G371" s="267"/>
      <c r="H371" s="316">
        <v>6</v>
      </c>
      <c r="I371" s="316"/>
      <c r="J371" s="317">
        <f>J370</f>
        <v>625</v>
      </c>
      <c r="K371" s="317" t="str">
        <f>K370</f>
        <v>mm id</v>
      </c>
      <c r="L371" s="367" t="str">
        <f>J371&amp;" "&amp;K371</f>
        <v>625 mm id</v>
      </c>
      <c r="M371" s="319">
        <v>1</v>
      </c>
      <c r="N371" s="271" t="s">
        <v>81</v>
      </c>
      <c r="O371" s="297">
        <f t="shared" si="113"/>
        <v>1.9637500000000001</v>
      </c>
      <c r="P371" s="271" t="s">
        <v>249</v>
      </c>
      <c r="Q371" s="324">
        <f>VLOOKUP(H371,BM!$B$3:$Y$62,17,FALSE)</f>
        <v>0.9</v>
      </c>
      <c r="R371" s="271" t="s">
        <v>112</v>
      </c>
      <c r="S371" s="290">
        <f t="shared" si="108"/>
        <v>1.7673750000000001</v>
      </c>
      <c r="T371" s="275">
        <v>1</v>
      </c>
      <c r="U371" s="290">
        <f t="shared" si="110"/>
        <v>2.77</v>
      </c>
      <c r="V371" s="276" t="s">
        <v>48</v>
      </c>
    </row>
    <row r="372" spans="1:22" s="172" customFormat="1" ht="20.25" customHeight="1">
      <c r="A372" s="263" t="str">
        <f t="shared" si="107"/>
        <v/>
      </c>
      <c r="B372" s="263"/>
      <c r="C372" s="264">
        <f t="shared" si="98"/>
        <v>371</v>
      </c>
      <c r="D372" s="277" t="s">
        <v>1554</v>
      </c>
      <c r="E372" s="293">
        <f t="shared" si="109"/>
        <v>370</v>
      </c>
      <c r="F372" s="267" t="s">
        <v>61</v>
      </c>
      <c r="G372" s="267"/>
      <c r="H372" s="316">
        <v>18</v>
      </c>
      <c r="I372" s="316"/>
      <c r="J372" s="317">
        <f>J371</f>
        <v>625</v>
      </c>
      <c r="K372" s="317" t="str">
        <f>K371</f>
        <v>mm id</v>
      </c>
      <c r="L372" s="367" t="str">
        <f>J372&amp;" "&amp;K372</f>
        <v>625 mm id</v>
      </c>
      <c r="M372" s="319">
        <v>1</v>
      </c>
      <c r="N372" s="271" t="s">
        <v>81</v>
      </c>
      <c r="O372" s="297">
        <f t="shared" si="113"/>
        <v>1.9637500000000001</v>
      </c>
      <c r="P372" s="271" t="s">
        <v>249</v>
      </c>
      <c r="Q372" s="324">
        <f>VLOOKUP(H372,BM!$B$3:$Y$62,20,FALSE)</f>
        <v>0.5</v>
      </c>
      <c r="R372" s="271" t="s">
        <v>112</v>
      </c>
      <c r="S372" s="290">
        <f t="shared" si="108"/>
        <v>0.98187500000000005</v>
      </c>
      <c r="T372" s="275">
        <v>1</v>
      </c>
      <c r="U372" s="290">
        <f t="shared" si="110"/>
        <v>1.98</v>
      </c>
      <c r="V372" s="276" t="s">
        <v>48</v>
      </c>
    </row>
    <row r="373" spans="1:22" s="172" customFormat="1" ht="20.25" customHeight="1">
      <c r="A373" s="263">
        <f t="shared" si="107"/>
        <v>372</v>
      </c>
      <c r="B373" s="263" t="s">
        <v>1263</v>
      </c>
      <c r="C373" s="264">
        <f t="shared" si="98"/>
        <v>372</v>
      </c>
      <c r="D373" s="265" t="s">
        <v>1555</v>
      </c>
      <c r="E373" s="279">
        <f>C367</f>
        <v>366</v>
      </c>
      <c r="F373" s="267"/>
      <c r="G373" s="267"/>
      <c r="H373" s="268"/>
      <c r="I373" s="268"/>
      <c r="J373" s="269"/>
      <c r="K373" s="269"/>
      <c r="L373" s="269"/>
      <c r="M373" s="319"/>
      <c r="N373" s="271"/>
      <c r="O373" s="280"/>
      <c r="P373" s="271"/>
      <c r="Q373" s="281"/>
      <c r="R373" s="271"/>
      <c r="S373" s="312"/>
      <c r="T373" s="282"/>
      <c r="U373" s="312"/>
      <c r="V373" s="276"/>
    </row>
    <row r="374" spans="1:22" s="172" customFormat="1" ht="20.25" customHeight="1">
      <c r="A374" s="263" t="str">
        <f t="shared" si="107"/>
        <v/>
      </c>
      <c r="B374" s="263"/>
      <c r="C374" s="264">
        <f t="shared" si="98"/>
        <v>373</v>
      </c>
      <c r="D374" s="277" t="s">
        <v>1556</v>
      </c>
      <c r="E374" s="293"/>
      <c r="F374" s="267" t="s">
        <v>348</v>
      </c>
      <c r="G374" s="267"/>
      <c r="H374" s="316">
        <v>18</v>
      </c>
      <c r="I374" s="316"/>
      <c r="J374" s="317">
        <f>J372</f>
        <v>625</v>
      </c>
      <c r="K374" s="317" t="str">
        <f>K372</f>
        <v>mm id</v>
      </c>
      <c r="L374" s="367" t="str">
        <f>J374&amp;" "&amp;K374</f>
        <v>625 mm id</v>
      </c>
      <c r="M374" s="319">
        <v>1</v>
      </c>
      <c r="N374" s="271" t="s">
        <v>81</v>
      </c>
      <c r="O374" s="272">
        <v>1</v>
      </c>
      <c r="P374" s="271" t="s">
        <v>81</v>
      </c>
      <c r="Q374" s="273">
        <v>4</v>
      </c>
      <c r="R374" s="271" t="s">
        <v>112</v>
      </c>
      <c r="S374" s="290">
        <f t="shared" si="108"/>
        <v>4</v>
      </c>
      <c r="T374" s="275">
        <v>1</v>
      </c>
      <c r="U374" s="290">
        <f t="shared" si="110"/>
        <v>5</v>
      </c>
      <c r="V374" s="276" t="s">
        <v>48</v>
      </c>
    </row>
    <row r="375" spans="1:22" s="172" customFormat="1" ht="20.25" customHeight="1">
      <c r="A375" s="263" t="str">
        <f t="shared" si="107"/>
        <v/>
      </c>
      <c r="B375" s="263"/>
      <c r="C375" s="264">
        <f t="shared" si="98"/>
        <v>374</v>
      </c>
      <c r="D375" s="277" t="s">
        <v>1557</v>
      </c>
      <c r="E375" s="293">
        <f t="shared" si="109"/>
        <v>373</v>
      </c>
      <c r="F375" s="267" t="s">
        <v>348</v>
      </c>
      <c r="G375" s="267"/>
      <c r="H375" s="316">
        <v>18</v>
      </c>
      <c r="I375" s="316"/>
      <c r="J375" s="317">
        <f>J374</f>
        <v>625</v>
      </c>
      <c r="K375" s="317" t="str">
        <f>K374</f>
        <v>mm id</v>
      </c>
      <c r="L375" s="367" t="str">
        <f>J375&amp;" "&amp;K375</f>
        <v>625 mm id</v>
      </c>
      <c r="M375" s="319">
        <v>1</v>
      </c>
      <c r="N375" s="271" t="s">
        <v>81</v>
      </c>
      <c r="O375" s="272">
        <v>1</v>
      </c>
      <c r="P375" s="271" t="s">
        <v>81</v>
      </c>
      <c r="Q375" s="273">
        <v>4</v>
      </c>
      <c r="R375" s="271" t="s">
        <v>112</v>
      </c>
      <c r="S375" s="290">
        <f t="shared" si="108"/>
        <v>4</v>
      </c>
      <c r="T375" s="275">
        <v>1</v>
      </c>
      <c r="U375" s="290">
        <f t="shared" si="110"/>
        <v>5</v>
      </c>
      <c r="V375" s="276" t="s">
        <v>48</v>
      </c>
    </row>
    <row r="376" spans="1:22" s="172" customFormat="1" ht="20.25" customHeight="1">
      <c r="A376" s="263" t="str">
        <f t="shared" si="107"/>
        <v/>
      </c>
      <c r="B376" s="263"/>
      <c r="C376" s="264">
        <f t="shared" si="98"/>
        <v>375</v>
      </c>
      <c r="D376" s="277" t="s">
        <v>1557</v>
      </c>
      <c r="E376" s="293">
        <f t="shared" si="109"/>
        <v>374</v>
      </c>
      <c r="F376" s="267" t="s">
        <v>348</v>
      </c>
      <c r="G376" s="267"/>
      <c r="H376" s="316">
        <v>18</v>
      </c>
      <c r="I376" s="316"/>
      <c r="J376" s="317">
        <f>J375</f>
        <v>625</v>
      </c>
      <c r="K376" s="317" t="str">
        <f>K375</f>
        <v>mm id</v>
      </c>
      <c r="L376" s="367" t="str">
        <f>J376&amp;" "&amp;K376</f>
        <v>625 mm id</v>
      </c>
      <c r="M376" s="319">
        <v>1</v>
      </c>
      <c r="N376" s="271" t="s">
        <v>81</v>
      </c>
      <c r="O376" s="272">
        <v>1</v>
      </c>
      <c r="P376" s="271" t="s">
        <v>81</v>
      </c>
      <c r="Q376" s="273">
        <v>4</v>
      </c>
      <c r="R376" s="271" t="s">
        <v>112</v>
      </c>
      <c r="S376" s="290">
        <f t="shared" si="108"/>
        <v>4</v>
      </c>
      <c r="T376" s="275">
        <v>1</v>
      </c>
      <c r="U376" s="290">
        <f t="shared" si="110"/>
        <v>5</v>
      </c>
      <c r="V376" s="276" t="s">
        <v>48</v>
      </c>
    </row>
    <row r="377" spans="1:22" s="172" customFormat="1" ht="20.25" customHeight="1">
      <c r="A377" s="263">
        <f t="shared" si="107"/>
        <v>376</v>
      </c>
      <c r="B377" s="263" t="s">
        <v>1263</v>
      </c>
      <c r="C377" s="264">
        <f t="shared" si="98"/>
        <v>376</v>
      </c>
      <c r="D377" s="265" t="s">
        <v>1558</v>
      </c>
      <c r="E377" s="279">
        <f>C373</f>
        <v>372</v>
      </c>
      <c r="F377" s="267"/>
      <c r="G377" s="267"/>
      <c r="H377" s="268"/>
      <c r="I377" s="268"/>
      <c r="J377" s="269"/>
      <c r="K377" s="269"/>
      <c r="L377" s="269"/>
      <c r="M377" s="319"/>
      <c r="N377" s="271"/>
      <c r="O377" s="280"/>
      <c r="P377" s="271"/>
      <c r="Q377" s="281"/>
      <c r="R377" s="271"/>
      <c r="S377" s="312"/>
      <c r="T377" s="282"/>
      <c r="U377" s="312"/>
      <c r="V377" s="276"/>
    </row>
    <row r="378" spans="1:22" s="172" customFormat="1" ht="20.25" customHeight="1">
      <c r="A378" s="263" t="str">
        <f t="shared" si="107"/>
        <v/>
      </c>
      <c r="B378" s="263"/>
      <c r="C378" s="264">
        <f t="shared" si="98"/>
        <v>377</v>
      </c>
      <c r="D378" s="277" t="s">
        <v>1559</v>
      </c>
      <c r="E378" s="293"/>
      <c r="F378" s="267" t="s">
        <v>52</v>
      </c>
      <c r="G378" s="267"/>
      <c r="H378" s="316">
        <v>18</v>
      </c>
      <c r="I378" s="316"/>
      <c r="J378" s="316"/>
      <c r="K378" s="316"/>
      <c r="L378" s="367" t="str">
        <f>J378&amp;" "&amp;K378</f>
        <v xml:space="preserve"> </v>
      </c>
      <c r="M378" s="319">
        <v>1</v>
      </c>
      <c r="N378" s="296" t="s">
        <v>81</v>
      </c>
      <c r="O378" s="297" t="e">
        <f t="shared" ref="O378:O379" si="114">LEFT(L378,SEARCH(" ",L378,1)-1)*3.142*M378*0.001</f>
        <v>#VALUE!</v>
      </c>
      <c r="P378" s="271" t="s">
        <v>249</v>
      </c>
      <c r="Q378" s="324">
        <f>VLOOKUP(H378,BM!$B$3:$Y$62,2,FALSE)</f>
        <v>0.1</v>
      </c>
      <c r="R378" s="271" t="s">
        <v>112</v>
      </c>
      <c r="S378" s="290" t="e">
        <f t="shared" si="108"/>
        <v>#VALUE!</v>
      </c>
      <c r="T378" s="275">
        <v>1</v>
      </c>
      <c r="U378" s="290" t="e">
        <f t="shared" si="110"/>
        <v>#VALUE!</v>
      </c>
      <c r="V378" s="276" t="s">
        <v>48</v>
      </c>
    </row>
    <row r="379" spans="1:22" s="172" customFormat="1" ht="20.25" customHeight="1">
      <c r="A379" s="263" t="str">
        <f t="shared" si="107"/>
        <v/>
      </c>
      <c r="B379" s="263"/>
      <c r="C379" s="264">
        <f t="shared" si="98"/>
        <v>378</v>
      </c>
      <c r="D379" s="277" t="s">
        <v>1559</v>
      </c>
      <c r="E379" s="293">
        <f t="shared" si="109"/>
        <v>377</v>
      </c>
      <c r="F379" s="267" t="s">
        <v>52</v>
      </c>
      <c r="G379" s="267"/>
      <c r="H379" s="316">
        <v>18</v>
      </c>
      <c r="I379" s="316"/>
      <c r="J379" s="317">
        <f>J378</f>
        <v>0</v>
      </c>
      <c r="K379" s="317"/>
      <c r="L379" s="367" t="str">
        <f>J379&amp;" "&amp;K379</f>
        <v xml:space="preserve">0 </v>
      </c>
      <c r="M379" s="319">
        <v>1</v>
      </c>
      <c r="N379" s="296" t="s">
        <v>81</v>
      </c>
      <c r="O379" s="297">
        <f t="shared" si="114"/>
        <v>0</v>
      </c>
      <c r="P379" s="271" t="s">
        <v>249</v>
      </c>
      <c r="Q379" s="324">
        <f>VLOOKUP(H379,BM!$B$3:$Y$62,2,FALSE)</f>
        <v>0.1</v>
      </c>
      <c r="R379" s="271" t="s">
        <v>112</v>
      </c>
      <c r="S379" s="290">
        <f t="shared" si="108"/>
        <v>0</v>
      </c>
      <c r="T379" s="275">
        <v>1</v>
      </c>
      <c r="U379" s="290">
        <f t="shared" si="110"/>
        <v>1</v>
      </c>
      <c r="V379" s="276" t="s">
        <v>48</v>
      </c>
    </row>
    <row r="380" spans="1:22" s="172" customFormat="1" ht="20.25" customHeight="1">
      <c r="A380" s="263">
        <f t="shared" si="107"/>
        <v>379</v>
      </c>
      <c r="B380" s="263" t="s">
        <v>1263</v>
      </c>
      <c r="C380" s="264">
        <f t="shared" si="98"/>
        <v>379</v>
      </c>
      <c r="D380" s="277" t="s">
        <v>1315</v>
      </c>
      <c r="E380" s="293">
        <f>C377</f>
        <v>376</v>
      </c>
      <c r="F380" s="267" t="s">
        <v>52</v>
      </c>
      <c r="G380" s="267"/>
      <c r="H380" s="268"/>
      <c r="I380" s="268"/>
      <c r="J380" s="269"/>
      <c r="K380" s="269"/>
      <c r="L380" s="269"/>
      <c r="M380" s="319">
        <v>2</v>
      </c>
      <c r="N380" s="271" t="s">
        <v>81</v>
      </c>
      <c r="O380" s="272">
        <v>2</v>
      </c>
      <c r="P380" s="271" t="s">
        <v>81</v>
      </c>
      <c r="Q380" s="273">
        <v>0.5</v>
      </c>
      <c r="R380" s="271" t="s">
        <v>112</v>
      </c>
      <c r="S380" s="290">
        <f t="shared" si="108"/>
        <v>1</v>
      </c>
      <c r="T380" s="275">
        <v>1</v>
      </c>
      <c r="U380" s="290">
        <f t="shared" si="110"/>
        <v>2</v>
      </c>
      <c r="V380" s="276" t="s">
        <v>48</v>
      </c>
    </row>
    <row r="381" spans="1:22" s="172" customFormat="1" ht="20.25" customHeight="1">
      <c r="A381" s="263">
        <f t="shared" si="107"/>
        <v>380</v>
      </c>
      <c r="B381" s="263" t="s">
        <v>1263</v>
      </c>
      <c r="C381" s="264">
        <f t="shared" si="98"/>
        <v>380</v>
      </c>
      <c r="D381" s="265" t="s">
        <v>1560</v>
      </c>
      <c r="E381" s="279">
        <f>C380</f>
        <v>379</v>
      </c>
      <c r="F381" s="267"/>
      <c r="G381" s="267"/>
      <c r="H381" s="268"/>
      <c r="I381" s="268"/>
      <c r="J381" s="269"/>
      <c r="K381" s="269"/>
      <c r="L381" s="269"/>
      <c r="M381" s="319"/>
      <c r="N381" s="271"/>
      <c r="O381" s="280"/>
      <c r="P381" s="271"/>
      <c r="Q381" s="281"/>
      <c r="R381" s="271"/>
      <c r="S381" s="312"/>
      <c r="T381" s="282"/>
      <c r="U381" s="312"/>
      <c r="V381" s="276"/>
    </row>
    <row r="382" spans="1:22" s="172" customFormat="1" ht="20.25" customHeight="1">
      <c r="A382" s="263" t="str">
        <f t="shared" si="107"/>
        <v/>
      </c>
      <c r="B382" s="263"/>
      <c r="C382" s="264">
        <f t="shared" si="98"/>
        <v>381</v>
      </c>
      <c r="D382" s="277" t="s">
        <v>1559</v>
      </c>
      <c r="E382" s="293"/>
      <c r="F382" s="267" t="s">
        <v>61</v>
      </c>
      <c r="G382" s="267"/>
      <c r="H382" s="316">
        <v>18</v>
      </c>
      <c r="I382" s="316"/>
      <c r="J382" s="317">
        <f>J379</f>
        <v>0</v>
      </c>
      <c r="K382" s="317"/>
      <c r="L382" s="367" t="str">
        <f>J382&amp;" "&amp;K382</f>
        <v xml:space="preserve">0 </v>
      </c>
      <c r="M382" s="319">
        <v>1</v>
      </c>
      <c r="N382" s="296" t="s">
        <v>81</v>
      </c>
      <c r="O382" s="297">
        <f t="shared" ref="O382:O383" si="115">LEFT(L382,SEARCH(" ",L382,1)-1)*3.142*M382*0.001</f>
        <v>0</v>
      </c>
      <c r="P382" s="271" t="s">
        <v>249</v>
      </c>
      <c r="Q382" s="324">
        <f>VLOOKUP(H382,BM!$B$3:$Y$62,6,FALSE)</f>
        <v>1</v>
      </c>
      <c r="R382" s="271" t="s">
        <v>112</v>
      </c>
      <c r="S382" s="290">
        <f t="shared" si="108"/>
        <v>0</v>
      </c>
      <c r="T382" s="275">
        <v>1</v>
      </c>
      <c r="U382" s="290">
        <f t="shared" si="110"/>
        <v>1</v>
      </c>
      <c r="V382" s="276" t="s">
        <v>48</v>
      </c>
    </row>
    <row r="383" spans="1:22" s="172" customFormat="1" ht="20.25" customHeight="1">
      <c r="A383" s="263" t="str">
        <f t="shared" si="107"/>
        <v/>
      </c>
      <c r="B383" s="263"/>
      <c r="C383" s="264">
        <f t="shared" si="98"/>
        <v>382</v>
      </c>
      <c r="D383" s="277" t="s">
        <v>1559</v>
      </c>
      <c r="E383" s="293">
        <f t="shared" si="109"/>
        <v>381</v>
      </c>
      <c r="F383" s="267" t="s">
        <v>61</v>
      </c>
      <c r="G383" s="267"/>
      <c r="H383" s="316">
        <v>18</v>
      </c>
      <c r="I383" s="316"/>
      <c r="J383" s="317">
        <f>J382</f>
        <v>0</v>
      </c>
      <c r="K383" s="317"/>
      <c r="L383" s="367" t="str">
        <f>J383&amp;" "&amp;K383</f>
        <v xml:space="preserve">0 </v>
      </c>
      <c r="M383" s="319">
        <v>1</v>
      </c>
      <c r="N383" s="296" t="s">
        <v>81</v>
      </c>
      <c r="O383" s="297">
        <f t="shared" si="115"/>
        <v>0</v>
      </c>
      <c r="P383" s="271" t="s">
        <v>249</v>
      </c>
      <c r="Q383" s="324">
        <f>VLOOKUP(H383,BM!$B$3:$Y$62,6,FALSE)</f>
        <v>1</v>
      </c>
      <c r="R383" s="271" t="s">
        <v>112</v>
      </c>
      <c r="S383" s="290">
        <f t="shared" si="108"/>
        <v>0</v>
      </c>
      <c r="T383" s="275">
        <v>1</v>
      </c>
      <c r="U383" s="290">
        <f t="shared" si="110"/>
        <v>1</v>
      </c>
      <c r="V383" s="276" t="s">
        <v>48</v>
      </c>
    </row>
    <row r="384" spans="1:22" s="172" customFormat="1" ht="20.25" customHeight="1">
      <c r="A384" s="263" t="str">
        <f t="shared" si="107"/>
        <v/>
      </c>
      <c r="B384" s="263"/>
      <c r="C384" s="264">
        <f t="shared" si="98"/>
        <v>383</v>
      </c>
      <c r="D384" s="277" t="s">
        <v>1315</v>
      </c>
      <c r="E384" s="293">
        <f t="shared" si="109"/>
        <v>382</v>
      </c>
      <c r="F384" s="267"/>
      <c r="G384" s="267"/>
      <c r="H384" s="268"/>
      <c r="I384" s="268"/>
      <c r="J384" s="269"/>
      <c r="K384" s="269"/>
      <c r="L384" s="269"/>
      <c r="M384" s="319">
        <v>1</v>
      </c>
      <c r="N384" s="296" t="s">
        <v>81</v>
      </c>
      <c r="O384" s="272">
        <v>2</v>
      </c>
      <c r="P384" s="271" t="s">
        <v>81</v>
      </c>
      <c r="Q384" s="273">
        <v>0.5</v>
      </c>
      <c r="R384" s="271" t="s">
        <v>112</v>
      </c>
      <c r="S384" s="290">
        <f t="shared" si="108"/>
        <v>1</v>
      </c>
      <c r="T384" s="275">
        <v>1</v>
      </c>
      <c r="U384" s="290">
        <f t="shared" si="110"/>
        <v>2</v>
      </c>
      <c r="V384" s="276" t="s">
        <v>48</v>
      </c>
    </row>
    <row r="385" spans="1:22" s="172" customFormat="1" ht="20.25" customHeight="1">
      <c r="A385" s="263">
        <f t="shared" si="107"/>
        <v>384</v>
      </c>
      <c r="B385" s="263" t="s">
        <v>1263</v>
      </c>
      <c r="C385" s="264">
        <f t="shared" si="98"/>
        <v>384</v>
      </c>
      <c r="D385" s="265" t="s">
        <v>1561</v>
      </c>
      <c r="E385" s="279">
        <f>C381</f>
        <v>380</v>
      </c>
      <c r="F385" s="267"/>
      <c r="G385" s="267"/>
      <c r="H385" s="268"/>
      <c r="I385" s="268"/>
      <c r="J385" s="269"/>
      <c r="K385" s="269"/>
      <c r="L385" s="269"/>
      <c r="M385" s="319"/>
      <c r="N385" s="271"/>
      <c r="O385" s="280"/>
      <c r="P385" s="271"/>
      <c r="Q385" s="281"/>
      <c r="R385" s="271"/>
      <c r="S385" s="312"/>
      <c r="T385" s="282"/>
      <c r="U385" s="312"/>
      <c r="V385" s="276"/>
    </row>
    <row r="386" spans="1:22" s="172" customFormat="1" ht="20.25" customHeight="1">
      <c r="A386" s="263" t="str">
        <f t="shared" si="107"/>
        <v/>
      </c>
      <c r="B386" s="263"/>
      <c r="C386" s="264">
        <f t="shared" si="98"/>
        <v>385</v>
      </c>
      <c r="D386" s="277" t="s">
        <v>1559</v>
      </c>
      <c r="E386" s="293"/>
      <c r="F386" s="267" t="s">
        <v>299</v>
      </c>
      <c r="G386" s="267"/>
      <c r="H386" s="268"/>
      <c r="I386" s="268"/>
      <c r="J386" s="316"/>
      <c r="K386" s="316"/>
      <c r="L386" s="367" t="str">
        <f t="shared" ref="L386:L387" si="116">J386&amp;" "&amp;K386</f>
        <v xml:space="preserve"> </v>
      </c>
      <c r="M386" s="319">
        <v>1</v>
      </c>
      <c r="N386" s="296" t="s">
        <v>81</v>
      </c>
      <c r="O386" s="272">
        <v>1</v>
      </c>
      <c r="P386" s="271" t="s">
        <v>249</v>
      </c>
      <c r="Q386" s="324" t="e">
        <f>VLOOKUP(L386,BM!$B$3:$Y$62,11,FALSE)</f>
        <v>#N/A</v>
      </c>
      <c r="R386" s="271" t="s">
        <v>112</v>
      </c>
      <c r="S386" s="290" t="e">
        <f t="shared" si="108"/>
        <v>#N/A</v>
      </c>
      <c r="T386" s="275">
        <v>1</v>
      </c>
      <c r="U386" s="290" t="e">
        <f t="shared" si="110"/>
        <v>#N/A</v>
      </c>
      <c r="V386" s="276" t="s">
        <v>48</v>
      </c>
    </row>
    <row r="387" spans="1:22" s="172" customFormat="1" ht="20.25" customHeight="1">
      <c r="A387" s="263" t="str">
        <f t="shared" si="107"/>
        <v/>
      </c>
      <c r="B387" s="263"/>
      <c r="C387" s="264">
        <f t="shared" si="98"/>
        <v>386</v>
      </c>
      <c r="D387" s="277" t="s">
        <v>1559</v>
      </c>
      <c r="E387" s="293">
        <f t="shared" si="109"/>
        <v>385</v>
      </c>
      <c r="F387" s="267" t="s">
        <v>299</v>
      </c>
      <c r="G387" s="267"/>
      <c r="H387" s="268"/>
      <c r="I387" s="268"/>
      <c r="J387" s="316"/>
      <c r="K387" s="316"/>
      <c r="L387" s="367" t="str">
        <f t="shared" si="116"/>
        <v xml:space="preserve"> </v>
      </c>
      <c r="M387" s="319">
        <v>1</v>
      </c>
      <c r="N387" s="296" t="s">
        <v>81</v>
      </c>
      <c r="O387" s="272">
        <v>1</v>
      </c>
      <c r="P387" s="271" t="s">
        <v>249</v>
      </c>
      <c r="Q387" s="324" t="e">
        <f>VLOOKUP(L387,BM!$B$3:$Y$62,11,FALSE)</f>
        <v>#N/A</v>
      </c>
      <c r="R387" s="271" t="s">
        <v>112</v>
      </c>
      <c r="S387" s="290" t="e">
        <f t="shared" si="108"/>
        <v>#N/A</v>
      </c>
      <c r="T387" s="275">
        <v>1</v>
      </c>
      <c r="U387" s="290" t="e">
        <f t="shared" si="110"/>
        <v>#N/A</v>
      </c>
      <c r="V387" s="276" t="s">
        <v>48</v>
      </c>
    </row>
    <row r="388" spans="1:22" s="172" customFormat="1" ht="20.25" customHeight="1">
      <c r="A388" s="263" t="str">
        <f t="shared" si="107"/>
        <v/>
      </c>
      <c r="B388" s="263"/>
      <c r="C388" s="264">
        <f t="shared" ref="C388:C451" si="117">C387+1</f>
        <v>387</v>
      </c>
      <c r="D388" s="277" t="s">
        <v>1562</v>
      </c>
      <c r="E388" s="293">
        <f t="shared" si="109"/>
        <v>386</v>
      </c>
      <c r="F388" s="267"/>
      <c r="G388" s="267"/>
      <c r="H388" s="268"/>
      <c r="I388" s="268"/>
      <c r="J388" s="269"/>
      <c r="K388" s="269"/>
      <c r="L388" s="269"/>
      <c r="M388" s="319">
        <v>2</v>
      </c>
      <c r="N388" s="296" t="s">
        <v>81</v>
      </c>
      <c r="O388" s="272">
        <v>1</v>
      </c>
      <c r="P388" s="271" t="s">
        <v>81</v>
      </c>
      <c r="Q388" s="273">
        <v>1</v>
      </c>
      <c r="R388" s="271" t="s">
        <v>112</v>
      </c>
      <c r="S388" s="290">
        <f t="shared" si="108"/>
        <v>1</v>
      </c>
      <c r="T388" s="275">
        <v>1</v>
      </c>
      <c r="U388" s="290">
        <f t="shared" si="110"/>
        <v>2</v>
      </c>
      <c r="V388" s="276" t="s">
        <v>48</v>
      </c>
    </row>
    <row r="389" spans="1:22" s="172" customFormat="1" ht="20.25" customHeight="1">
      <c r="A389" s="263">
        <f t="shared" si="107"/>
        <v>388</v>
      </c>
      <c r="B389" s="263" t="s">
        <v>1263</v>
      </c>
      <c r="C389" s="264">
        <f t="shared" si="117"/>
        <v>388</v>
      </c>
      <c r="D389" s="265" t="s">
        <v>1563</v>
      </c>
      <c r="E389" s="279">
        <f>C385</f>
        <v>384</v>
      </c>
      <c r="F389" s="267"/>
      <c r="G389" s="267"/>
      <c r="H389" s="268"/>
      <c r="I389" s="268"/>
      <c r="J389" s="269"/>
      <c r="K389" s="269"/>
      <c r="L389" s="269"/>
      <c r="M389" s="319"/>
      <c r="N389" s="271"/>
      <c r="O389" s="280"/>
      <c r="P389" s="271"/>
      <c r="Q389" s="281"/>
      <c r="R389" s="271"/>
      <c r="S389" s="312"/>
      <c r="T389" s="282"/>
      <c r="U389" s="312"/>
      <c r="V389" s="276"/>
    </row>
    <row r="390" spans="1:22" s="172" customFormat="1" ht="20.25" customHeight="1">
      <c r="A390" s="263" t="str">
        <f t="shared" si="107"/>
        <v/>
      </c>
      <c r="B390" s="263"/>
      <c r="C390" s="264">
        <f t="shared" si="117"/>
        <v>389</v>
      </c>
      <c r="D390" s="277" t="s">
        <v>1559</v>
      </c>
      <c r="E390" s="293"/>
      <c r="F390" s="267" t="s">
        <v>44</v>
      </c>
      <c r="G390" s="267"/>
      <c r="H390" s="268"/>
      <c r="I390" s="268"/>
      <c r="J390" s="316"/>
      <c r="K390" s="316"/>
      <c r="L390" s="367" t="str">
        <f>J390&amp;" "&amp;K390</f>
        <v xml:space="preserve"> </v>
      </c>
      <c r="M390" s="319">
        <v>1</v>
      </c>
      <c r="N390" s="296" t="s">
        <v>81</v>
      </c>
      <c r="O390" s="272">
        <v>1</v>
      </c>
      <c r="P390" s="271" t="s">
        <v>48</v>
      </c>
      <c r="Q390" s="273">
        <v>1</v>
      </c>
      <c r="R390" s="271" t="s">
        <v>112</v>
      </c>
      <c r="S390" s="290">
        <f t="shared" si="108"/>
        <v>1</v>
      </c>
      <c r="T390" s="275">
        <v>1</v>
      </c>
      <c r="U390" s="290">
        <f t="shared" si="110"/>
        <v>2</v>
      </c>
      <c r="V390" s="276" t="s">
        <v>48</v>
      </c>
    </row>
    <row r="391" spans="1:22" s="172" customFormat="1" ht="20.25" customHeight="1">
      <c r="A391" s="263" t="str">
        <f t="shared" si="107"/>
        <v/>
      </c>
      <c r="B391" s="263"/>
      <c r="C391" s="264">
        <f t="shared" si="117"/>
        <v>390</v>
      </c>
      <c r="D391" s="277" t="s">
        <v>1559</v>
      </c>
      <c r="E391" s="293">
        <f t="shared" si="109"/>
        <v>389</v>
      </c>
      <c r="F391" s="267" t="s">
        <v>44</v>
      </c>
      <c r="G391" s="267"/>
      <c r="H391" s="268"/>
      <c r="I391" s="268"/>
      <c r="J391" s="316"/>
      <c r="K391" s="316"/>
      <c r="L391" s="367" t="str">
        <f t="shared" ref="L391:L392" si="118">J391&amp;" "&amp;K391</f>
        <v xml:space="preserve"> </v>
      </c>
      <c r="M391" s="319">
        <v>1</v>
      </c>
      <c r="N391" s="296" t="s">
        <v>81</v>
      </c>
      <c r="O391" s="272">
        <v>1</v>
      </c>
      <c r="P391" s="271" t="s">
        <v>48</v>
      </c>
      <c r="Q391" s="273">
        <v>1</v>
      </c>
      <c r="R391" s="271" t="s">
        <v>112</v>
      </c>
      <c r="S391" s="290">
        <f t="shared" si="108"/>
        <v>1</v>
      </c>
      <c r="T391" s="275">
        <v>1</v>
      </c>
      <c r="U391" s="290">
        <f t="shared" si="110"/>
        <v>2</v>
      </c>
      <c r="V391" s="276" t="s">
        <v>48</v>
      </c>
    </row>
    <row r="392" spans="1:22" s="172" customFormat="1" ht="20.25" customHeight="1">
      <c r="A392" s="263" t="str">
        <f t="shared" si="107"/>
        <v/>
      </c>
      <c r="B392" s="263"/>
      <c r="C392" s="264">
        <f t="shared" si="117"/>
        <v>391</v>
      </c>
      <c r="D392" s="277" t="s">
        <v>1562</v>
      </c>
      <c r="E392" s="293">
        <f t="shared" si="109"/>
        <v>390</v>
      </c>
      <c r="F392" s="267" t="s">
        <v>44</v>
      </c>
      <c r="G392" s="267"/>
      <c r="H392" s="268"/>
      <c r="I392" s="268"/>
      <c r="J392" s="316"/>
      <c r="K392" s="316"/>
      <c r="L392" s="367" t="str">
        <f t="shared" si="118"/>
        <v xml:space="preserve"> </v>
      </c>
      <c r="M392" s="319">
        <v>2</v>
      </c>
      <c r="N392" s="296" t="s">
        <v>81</v>
      </c>
      <c r="O392" s="272">
        <v>1</v>
      </c>
      <c r="P392" s="271" t="s">
        <v>48</v>
      </c>
      <c r="Q392" s="273">
        <v>1</v>
      </c>
      <c r="R392" s="271" t="s">
        <v>112</v>
      </c>
      <c r="S392" s="290">
        <f t="shared" si="108"/>
        <v>1</v>
      </c>
      <c r="T392" s="275">
        <v>1</v>
      </c>
      <c r="U392" s="290">
        <f t="shared" si="110"/>
        <v>2</v>
      </c>
      <c r="V392" s="276" t="s">
        <v>48</v>
      </c>
    </row>
    <row r="393" spans="1:22" s="172" customFormat="1" ht="20.25" customHeight="1">
      <c r="A393" s="263">
        <f t="shared" si="107"/>
        <v>392</v>
      </c>
      <c r="B393" s="263" t="s">
        <v>1263</v>
      </c>
      <c r="C393" s="264">
        <f t="shared" si="117"/>
        <v>392</v>
      </c>
      <c r="D393" s="265" t="s">
        <v>1564</v>
      </c>
      <c r="E393" s="279">
        <f>C389</f>
        <v>388</v>
      </c>
      <c r="F393" s="267"/>
      <c r="G393" s="267"/>
      <c r="H393" s="268"/>
      <c r="I393" s="268"/>
      <c r="J393" s="269"/>
      <c r="K393" s="269"/>
      <c r="L393" s="269"/>
      <c r="M393" s="319"/>
      <c r="N393" s="271"/>
      <c r="O393" s="280"/>
      <c r="P393" s="271"/>
      <c r="Q393" s="281"/>
      <c r="R393" s="271"/>
      <c r="S393" s="312"/>
      <c r="T393" s="282"/>
      <c r="U393" s="312"/>
      <c r="V393" s="276"/>
    </row>
    <row r="394" spans="1:22" s="172" customFormat="1" ht="20.25" customHeight="1">
      <c r="A394" s="263" t="str">
        <f t="shared" si="107"/>
        <v/>
      </c>
      <c r="B394" s="263"/>
      <c r="C394" s="264">
        <f t="shared" si="117"/>
        <v>393</v>
      </c>
      <c r="D394" s="277" t="s">
        <v>1565</v>
      </c>
      <c r="E394" s="293"/>
      <c r="F394" s="267" t="s">
        <v>37</v>
      </c>
      <c r="G394" s="267"/>
      <c r="H394" s="268"/>
      <c r="I394" s="268"/>
      <c r="J394" s="269"/>
      <c r="K394" s="269"/>
      <c r="L394" s="269"/>
      <c r="M394" s="319">
        <v>1</v>
      </c>
      <c r="N394" s="296" t="s">
        <v>81</v>
      </c>
      <c r="O394" s="272">
        <v>1</v>
      </c>
      <c r="P394" s="271" t="s">
        <v>81</v>
      </c>
      <c r="Q394" s="273">
        <v>1</v>
      </c>
      <c r="R394" s="271" t="s">
        <v>162</v>
      </c>
      <c r="S394" s="290">
        <f t="shared" si="108"/>
        <v>1</v>
      </c>
      <c r="T394" s="275"/>
      <c r="U394" s="290">
        <f t="shared" si="110"/>
        <v>1</v>
      </c>
      <c r="V394" s="276" t="s">
        <v>48</v>
      </c>
    </row>
    <row r="395" spans="1:22" s="172" customFormat="1" ht="20.25" customHeight="1">
      <c r="A395" s="263" t="str">
        <f t="shared" si="107"/>
        <v/>
      </c>
      <c r="B395" s="263"/>
      <c r="C395" s="264">
        <f t="shared" si="117"/>
        <v>394</v>
      </c>
      <c r="D395" s="277" t="s">
        <v>1566</v>
      </c>
      <c r="E395" s="293">
        <f t="shared" si="109"/>
        <v>393</v>
      </c>
      <c r="F395" s="267" t="s">
        <v>115</v>
      </c>
      <c r="G395" s="267"/>
      <c r="H395" s="316">
        <v>12</v>
      </c>
      <c r="I395" s="316"/>
      <c r="J395" s="317">
        <f>J383</f>
        <v>0</v>
      </c>
      <c r="K395" s="317"/>
      <c r="L395" s="367" t="str">
        <f>J395&amp;" "&amp;K395</f>
        <v xml:space="preserve">0 </v>
      </c>
      <c r="M395" s="319">
        <v>1</v>
      </c>
      <c r="N395" s="296" t="s">
        <v>81</v>
      </c>
      <c r="O395" s="297">
        <f t="shared" ref="O395:O401" si="119">LEFT(L395,SEARCH(" ",L395,1)-1)*3.142*M395*0.001</f>
        <v>0</v>
      </c>
      <c r="P395" s="271" t="s">
        <v>249</v>
      </c>
      <c r="Q395" s="324">
        <f>VLOOKUP(H395,BM!$B$3:$Y$62,17,FALSE)</f>
        <v>2.5</v>
      </c>
      <c r="R395" s="271" t="s">
        <v>112</v>
      </c>
      <c r="S395" s="290">
        <f t="shared" si="108"/>
        <v>0</v>
      </c>
      <c r="T395" s="275">
        <v>1</v>
      </c>
      <c r="U395" s="290">
        <f t="shared" si="110"/>
        <v>1</v>
      </c>
      <c r="V395" s="276" t="s">
        <v>48</v>
      </c>
    </row>
    <row r="396" spans="1:22" s="172" customFormat="1" ht="20.25" customHeight="1">
      <c r="A396" s="263" t="str">
        <f t="shared" si="107"/>
        <v/>
      </c>
      <c r="B396" s="263"/>
      <c r="C396" s="264">
        <f t="shared" si="117"/>
        <v>395</v>
      </c>
      <c r="D396" s="277" t="s">
        <v>1567</v>
      </c>
      <c r="E396" s="293">
        <f t="shared" si="109"/>
        <v>394</v>
      </c>
      <c r="F396" s="267" t="s">
        <v>115</v>
      </c>
      <c r="G396" s="267"/>
      <c r="H396" s="316">
        <v>12</v>
      </c>
      <c r="I396" s="316"/>
      <c r="J396" s="317">
        <f t="shared" ref="J396" si="120">J395</f>
        <v>0</v>
      </c>
      <c r="K396" s="317"/>
      <c r="L396" s="367" t="str">
        <f>J396&amp;" "&amp;K396</f>
        <v xml:space="preserve">0 </v>
      </c>
      <c r="M396" s="319">
        <v>1</v>
      </c>
      <c r="N396" s="296" t="s">
        <v>81</v>
      </c>
      <c r="O396" s="297">
        <f t="shared" si="119"/>
        <v>0</v>
      </c>
      <c r="P396" s="271" t="s">
        <v>249</v>
      </c>
      <c r="Q396" s="324">
        <f>VLOOKUP(H396,BM!$B$3:$Y$62,17,FALSE)</f>
        <v>2.5</v>
      </c>
      <c r="R396" s="271" t="s">
        <v>112</v>
      </c>
      <c r="S396" s="290">
        <f t="shared" si="108"/>
        <v>0</v>
      </c>
      <c r="T396" s="275">
        <v>1</v>
      </c>
      <c r="U396" s="290">
        <f t="shared" si="110"/>
        <v>1</v>
      </c>
      <c r="V396" s="276" t="s">
        <v>48</v>
      </c>
    </row>
    <row r="397" spans="1:22" s="172" customFormat="1" ht="20.25" customHeight="1">
      <c r="A397" s="263" t="str">
        <f t="shared" si="107"/>
        <v/>
      </c>
      <c r="B397" s="263"/>
      <c r="C397" s="264">
        <f t="shared" si="117"/>
        <v>396</v>
      </c>
      <c r="D397" s="277" t="s">
        <v>1568</v>
      </c>
      <c r="E397" s="293">
        <f t="shared" si="109"/>
        <v>395</v>
      </c>
      <c r="F397" s="267" t="s">
        <v>115</v>
      </c>
      <c r="G397" s="267"/>
      <c r="H397" s="316">
        <v>12</v>
      </c>
      <c r="I397" s="316"/>
      <c r="J397" s="317">
        <f t="shared" ref="J397" si="121">J396</f>
        <v>0</v>
      </c>
      <c r="K397" s="317"/>
      <c r="L397" s="367" t="str">
        <f>J397&amp;" "&amp;K397</f>
        <v xml:space="preserve">0 </v>
      </c>
      <c r="M397" s="319">
        <v>1</v>
      </c>
      <c r="N397" s="296" t="s">
        <v>81</v>
      </c>
      <c r="O397" s="297">
        <f t="shared" si="119"/>
        <v>0</v>
      </c>
      <c r="P397" s="271" t="s">
        <v>249</v>
      </c>
      <c r="Q397" s="324">
        <f>VLOOKUP(H397,BM!$B$3:$Y$62,17,FALSE)</f>
        <v>2.5</v>
      </c>
      <c r="R397" s="271" t="s">
        <v>112</v>
      </c>
      <c r="S397" s="290">
        <f t="shared" si="108"/>
        <v>0</v>
      </c>
      <c r="T397" s="275">
        <v>1</v>
      </c>
      <c r="U397" s="290">
        <f t="shared" si="110"/>
        <v>1</v>
      </c>
      <c r="V397" s="276" t="s">
        <v>48</v>
      </c>
    </row>
    <row r="398" spans="1:22" s="172" customFormat="1" ht="20.25" customHeight="1">
      <c r="A398" s="263" t="str">
        <f t="shared" si="107"/>
        <v/>
      </c>
      <c r="B398" s="263"/>
      <c r="C398" s="264">
        <f t="shared" si="117"/>
        <v>397</v>
      </c>
      <c r="D398" s="277" t="s">
        <v>1569</v>
      </c>
      <c r="E398" s="293">
        <f t="shared" si="109"/>
        <v>396</v>
      </c>
      <c r="F398" s="267" t="s">
        <v>44</v>
      </c>
      <c r="G398" s="267"/>
      <c r="H398" s="316">
        <v>12</v>
      </c>
      <c r="I398" s="316"/>
      <c r="J398" s="317">
        <f t="shared" ref="J398" si="122">J397</f>
        <v>0</v>
      </c>
      <c r="K398" s="317"/>
      <c r="L398" s="367" t="str">
        <f>J398&amp;" "&amp;K398</f>
        <v xml:space="preserve">0 </v>
      </c>
      <c r="M398" s="319">
        <v>2</v>
      </c>
      <c r="N398" s="296" t="s">
        <v>81</v>
      </c>
      <c r="O398" s="297">
        <f t="shared" si="119"/>
        <v>0</v>
      </c>
      <c r="P398" s="271" t="s">
        <v>249</v>
      </c>
      <c r="Q398" s="273">
        <v>1</v>
      </c>
      <c r="R398" s="271" t="s">
        <v>112</v>
      </c>
      <c r="S398" s="290">
        <f t="shared" si="108"/>
        <v>0</v>
      </c>
      <c r="T398" s="275">
        <v>1</v>
      </c>
      <c r="U398" s="290">
        <f t="shared" si="110"/>
        <v>1</v>
      </c>
      <c r="V398" s="276" t="s">
        <v>48</v>
      </c>
    </row>
    <row r="399" spans="1:22" s="172" customFormat="1" ht="20.25" customHeight="1">
      <c r="A399" s="263" t="str">
        <f t="shared" si="107"/>
        <v/>
      </c>
      <c r="B399" s="263"/>
      <c r="C399" s="264">
        <f t="shared" si="117"/>
        <v>398</v>
      </c>
      <c r="D399" s="277" t="s">
        <v>1570</v>
      </c>
      <c r="E399" s="293">
        <f t="shared" si="109"/>
        <v>397</v>
      </c>
      <c r="F399" s="267" t="s">
        <v>386</v>
      </c>
      <c r="G399" s="267"/>
      <c r="H399" s="316">
        <v>8</v>
      </c>
      <c r="I399" s="316"/>
      <c r="J399" s="317">
        <f t="shared" ref="J399" si="123">J398</f>
        <v>0</v>
      </c>
      <c r="K399" s="317"/>
      <c r="L399" s="367" t="str">
        <f>J399&amp;" "&amp;K399</f>
        <v xml:space="preserve">0 </v>
      </c>
      <c r="M399" s="319">
        <v>1</v>
      </c>
      <c r="N399" s="296" t="s">
        <v>81</v>
      </c>
      <c r="O399" s="297">
        <f t="shared" si="119"/>
        <v>0</v>
      </c>
      <c r="P399" s="271" t="s">
        <v>249</v>
      </c>
      <c r="Q399" s="324">
        <f>VLOOKUP(H399,BM!$B$3:$Y$62,17,FALSE)</f>
        <v>1.36</v>
      </c>
      <c r="R399" s="271" t="s">
        <v>112</v>
      </c>
      <c r="S399" s="290">
        <f t="shared" si="108"/>
        <v>0</v>
      </c>
      <c r="T399" s="275">
        <v>1</v>
      </c>
      <c r="U399" s="290">
        <f t="shared" si="110"/>
        <v>1</v>
      </c>
      <c r="V399" s="276" t="s">
        <v>48</v>
      </c>
    </row>
    <row r="400" spans="1:22" s="172" customFormat="1" ht="20.25" customHeight="1">
      <c r="A400" s="263" t="str">
        <f t="shared" si="107"/>
        <v/>
      </c>
      <c r="B400" s="263"/>
      <c r="C400" s="264">
        <f t="shared" si="117"/>
        <v>399</v>
      </c>
      <c r="D400" s="277" t="s">
        <v>1571</v>
      </c>
      <c r="E400" s="293">
        <f t="shared" si="109"/>
        <v>398</v>
      </c>
      <c r="F400" s="267" t="s">
        <v>386</v>
      </c>
      <c r="G400" s="267"/>
      <c r="H400" s="316">
        <v>8</v>
      </c>
      <c r="I400" s="316"/>
      <c r="J400" s="317">
        <f t="shared" ref="J400" si="124">J399</f>
        <v>0</v>
      </c>
      <c r="K400" s="317"/>
      <c r="L400" s="367" t="str">
        <f>J400&amp;" "&amp;K400</f>
        <v xml:space="preserve">0 </v>
      </c>
      <c r="M400" s="319">
        <v>1</v>
      </c>
      <c r="N400" s="296" t="s">
        <v>81</v>
      </c>
      <c r="O400" s="297">
        <f t="shared" si="119"/>
        <v>0</v>
      </c>
      <c r="P400" s="271" t="s">
        <v>249</v>
      </c>
      <c r="Q400" s="324">
        <f>VLOOKUP(H400,BM!$B$3:$Y$62,17,FALSE)</f>
        <v>1.36</v>
      </c>
      <c r="R400" s="271" t="s">
        <v>112</v>
      </c>
      <c r="S400" s="290">
        <f t="shared" si="108"/>
        <v>0</v>
      </c>
      <c r="T400" s="275">
        <v>1</v>
      </c>
      <c r="U400" s="290">
        <f t="shared" si="110"/>
        <v>1</v>
      </c>
      <c r="V400" s="276" t="s">
        <v>48</v>
      </c>
    </row>
    <row r="401" spans="1:22" s="172" customFormat="1" ht="20.25" customHeight="1">
      <c r="A401" s="263" t="str">
        <f t="shared" si="107"/>
        <v/>
      </c>
      <c r="B401" s="263"/>
      <c r="C401" s="264">
        <f t="shared" si="117"/>
        <v>400</v>
      </c>
      <c r="D401" s="277" t="s">
        <v>1572</v>
      </c>
      <c r="E401" s="293">
        <f t="shared" si="109"/>
        <v>399</v>
      </c>
      <c r="F401" s="267" t="s">
        <v>386</v>
      </c>
      <c r="G401" s="267"/>
      <c r="H401" s="316">
        <v>8</v>
      </c>
      <c r="I401" s="316"/>
      <c r="J401" s="317">
        <f t="shared" ref="J401" si="125">J400</f>
        <v>0</v>
      </c>
      <c r="K401" s="317"/>
      <c r="L401" s="367" t="str">
        <f>J401&amp;" "&amp;K401</f>
        <v xml:space="preserve">0 </v>
      </c>
      <c r="M401" s="319">
        <v>0</v>
      </c>
      <c r="N401" s="296" t="s">
        <v>81</v>
      </c>
      <c r="O401" s="297">
        <f t="shared" si="119"/>
        <v>0</v>
      </c>
      <c r="P401" s="271" t="s">
        <v>249</v>
      </c>
      <c r="Q401" s="324">
        <f>VLOOKUP(H401,BM!$B$3:$Y$62,17,FALSE)</f>
        <v>1.36</v>
      </c>
      <c r="R401" s="271" t="s">
        <v>112</v>
      </c>
      <c r="S401" s="290">
        <f t="shared" si="108"/>
        <v>0</v>
      </c>
      <c r="T401" s="275">
        <v>1</v>
      </c>
      <c r="U401" s="290">
        <f t="shared" si="110"/>
        <v>1</v>
      </c>
      <c r="V401" s="276" t="s">
        <v>48</v>
      </c>
    </row>
    <row r="402" spans="1:22" s="172" customFormat="1" ht="20.25" customHeight="1">
      <c r="A402" s="263" t="str">
        <f t="shared" si="107"/>
        <v/>
      </c>
      <c r="B402" s="263"/>
      <c r="C402" s="264">
        <f t="shared" si="117"/>
        <v>401</v>
      </c>
      <c r="D402" s="265" t="s">
        <v>1573</v>
      </c>
      <c r="E402" s="279">
        <f>C393</f>
        <v>392</v>
      </c>
      <c r="F402" s="267"/>
      <c r="G402" s="267"/>
      <c r="H402" s="268"/>
      <c r="I402" s="268"/>
      <c r="J402" s="269"/>
      <c r="K402" s="269"/>
      <c r="L402" s="269"/>
      <c r="M402" s="319"/>
      <c r="N402" s="271"/>
      <c r="O402" s="272"/>
      <c r="P402" s="271"/>
      <c r="Q402" s="273"/>
      <c r="R402" s="271"/>
      <c r="S402" s="307"/>
      <c r="T402" s="275"/>
      <c r="U402" s="307"/>
      <c r="V402" s="276"/>
    </row>
    <row r="403" spans="1:22" s="172" customFormat="1" ht="20.25" customHeight="1">
      <c r="A403" s="263" t="str">
        <f t="shared" si="107"/>
        <v/>
      </c>
      <c r="B403" s="263"/>
      <c r="C403" s="264">
        <f t="shared" si="117"/>
        <v>402</v>
      </c>
      <c r="D403" s="277" t="s">
        <v>1574</v>
      </c>
      <c r="E403" s="293"/>
      <c r="F403" s="267" t="s">
        <v>111</v>
      </c>
      <c r="G403" s="267"/>
      <c r="H403" s="316">
        <v>12</v>
      </c>
      <c r="I403" s="316"/>
      <c r="J403" s="310">
        <v>649</v>
      </c>
      <c r="K403" s="294" t="s">
        <v>1834</v>
      </c>
      <c r="L403" s="367" t="str">
        <f>J403&amp;" "&amp;K403</f>
        <v>649 mm od</v>
      </c>
      <c r="M403" s="319">
        <v>2</v>
      </c>
      <c r="N403" s="296" t="s">
        <v>81</v>
      </c>
      <c r="O403" s="297">
        <f>LEFT(L403,SEARCH(" ",L403,1)-1)*3.142*M403*2*0.001</f>
        <v>8.1566320000000001</v>
      </c>
      <c r="P403" s="271" t="s">
        <v>81</v>
      </c>
      <c r="Q403" s="273">
        <v>0.5</v>
      </c>
      <c r="R403" s="271" t="s">
        <v>162</v>
      </c>
      <c r="S403" s="290">
        <f t="shared" si="108"/>
        <v>4.0783160000000001</v>
      </c>
      <c r="T403" s="275">
        <v>1</v>
      </c>
      <c r="U403" s="290">
        <f t="shared" si="110"/>
        <v>5.08</v>
      </c>
      <c r="V403" s="276" t="s">
        <v>48</v>
      </c>
    </row>
    <row r="404" spans="1:22" s="172" customFormat="1" ht="20.25" customHeight="1">
      <c r="A404" s="263" t="str">
        <f t="shared" si="107"/>
        <v/>
      </c>
      <c r="B404" s="263"/>
      <c r="C404" s="264">
        <f t="shared" si="117"/>
        <v>403</v>
      </c>
      <c r="D404" s="277" t="s">
        <v>1575</v>
      </c>
      <c r="E404" s="293">
        <f t="shared" si="109"/>
        <v>402</v>
      </c>
      <c r="F404" s="267" t="s">
        <v>156</v>
      </c>
      <c r="G404" s="267"/>
      <c r="H404" s="316">
        <v>12</v>
      </c>
      <c r="I404" s="316"/>
      <c r="J404" s="317">
        <f>J403</f>
        <v>649</v>
      </c>
      <c r="K404" s="317" t="str">
        <f>K403</f>
        <v>mm od</v>
      </c>
      <c r="L404" s="367" t="str">
        <f>J404&amp;" "&amp;K404</f>
        <v>649 mm od</v>
      </c>
      <c r="M404" s="319">
        <v>2</v>
      </c>
      <c r="N404" s="271" t="s">
        <v>249</v>
      </c>
      <c r="O404" s="297">
        <f>LEFT(L404,SEARCH(" ",L404,1)-1)*3.142*M404*2*0.001</f>
        <v>8.1566320000000001</v>
      </c>
      <c r="P404" s="271" t="s">
        <v>249</v>
      </c>
      <c r="Q404" s="324">
        <f>VLOOKUP(H404,BM!$B$3:$Y$62,22,FALSE)</f>
        <v>1.6</v>
      </c>
      <c r="R404" s="271" t="s">
        <v>162</v>
      </c>
      <c r="S404" s="290">
        <f t="shared" si="108"/>
        <v>13.050611200000001</v>
      </c>
      <c r="T404" s="275">
        <v>1</v>
      </c>
      <c r="U404" s="290">
        <f t="shared" si="110"/>
        <v>14.05</v>
      </c>
      <c r="V404" s="276" t="s">
        <v>48</v>
      </c>
    </row>
    <row r="405" spans="1:22" s="172" customFormat="1" ht="20.25" customHeight="1">
      <c r="A405" s="263" t="str">
        <f t="shared" si="107"/>
        <v/>
      </c>
      <c r="B405" s="263"/>
      <c r="C405" s="264">
        <f t="shared" si="117"/>
        <v>404</v>
      </c>
      <c r="D405" s="277" t="s">
        <v>1576</v>
      </c>
      <c r="E405" s="293">
        <f t="shared" si="109"/>
        <v>403</v>
      </c>
      <c r="F405" s="267" t="s">
        <v>394</v>
      </c>
      <c r="G405" s="267"/>
      <c r="H405" s="268"/>
      <c r="I405" s="268"/>
      <c r="J405" s="308">
        <f>J404</f>
        <v>649</v>
      </c>
      <c r="K405" s="308" t="str">
        <f>K404</f>
        <v>mm od</v>
      </c>
      <c r="L405" s="367" t="str">
        <f>J405&amp;" "&amp;K405</f>
        <v>649 mm od</v>
      </c>
      <c r="M405" s="319">
        <v>2</v>
      </c>
      <c r="N405" s="271" t="s">
        <v>81</v>
      </c>
      <c r="O405" s="321">
        <f>M405</f>
        <v>2</v>
      </c>
      <c r="P405" s="271" t="s">
        <v>81</v>
      </c>
      <c r="Q405" s="273">
        <v>8</v>
      </c>
      <c r="R405" s="271" t="s">
        <v>162</v>
      </c>
      <c r="S405" s="290">
        <f t="shared" si="108"/>
        <v>16</v>
      </c>
      <c r="T405" s="275">
        <v>1</v>
      </c>
      <c r="U405" s="290">
        <f t="shared" si="110"/>
        <v>17</v>
      </c>
      <c r="V405" s="276" t="s">
        <v>48</v>
      </c>
    </row>
    <row r="406" spans="1:22" s="172" customFormat="1" ht="20.25" customHeight="1">
      <c r="A406" s="263" t="str">
        <f t="shared" si="107"/>
        <v/>
      </c>
      <c r="B406" s="263"/>
      <c r="C406" s="264">
        <f t="shared" si="117"/>
        <v>405</v>
      </c>
      <c r="D406" s="277" t="s">
        <v>1577</v>
      </c>
      <c r="E406" s="293">
        <f t="shared" si="109"/>
        <v>404</v>
      </c>
      <c r="F406" s="267" t="s">
        <v>396</v>
      </c>
      <c r="G406" s="267"/>
      <c r="H406" s="268"/>
      <c r="I406" s="268"/>
      <c r="J406" s="308">
        <f>J405</f>
        <v>649</v>
      </c>
      <c r="K406" s="308" t="str">
        <f>K405</f>
        <v>mm od</v>
      </c>
      <c r="L406" s="367" t="str">
        <f>J406&amp;" "&amp;K406</f>
        <v>649 mm od</v>
      </c>
      <c r="M406" s="319">
        <v>2</v>
      </c>
      <c r="N406" s="271" t="s">
        <v>81</v>
      </c>
      <c r="O406" s="321">
        <f>M406</f>
        <v>2</v>
      </c>
      <c r="P406" s="271" t="s">
        <v>81</v>
      </c>
      <c r="Q406" s="273">
        <v>6</v>
      </c>
      <c r="R406" s="271" t="s">
        <v>162</v>
      </c>
      <c r="S406" s="290">
        <f t="shared" si="108"/>
        <v>12</v>
      </c>
      <c r="T406" s="275">
        <v>1</v>
      </c>
      <c r="U406" s="290">
        <f t="shared" si="110"/>
        <v>13</v>
      </c>
      <c r="V406" s="276" t="s">
        <v>48</v>
      </c>
    </row>
    <row r="407" spans="1:22" s="172" customFormat="1" ht="20.25" customHeight="1">
      <c r="A407" s="263" t="str">
        <f t="shared" si="107"/>
        <v/>
      </c>
      <c r="B407" s="263"/>
      <c r="C407" s="264">
        <f t="shared" si="117"/>
        <v>406</v>
      </c>
      <c r="D407" s="277" t="s">
        <v>1578</v>
      </c>
      <c r="E407" s="293">
        <f t="shared" si="109"/>
        <v>405</v>
      </c>
      <c r="F407" s="267" t="s">
        <v>156</v>
      </c>
      <c r="G407" s="267"/>
      <c r="H407" s="316">
        <v>12</v>
      </c>
      <c r="I407" s="316"/>
      <c r="J407" s="316">
        <v>11400</v>
      </c>
      <c r="K407" s="322" t="s">
        <v>79</v>
      </c>
      <c r="L407" s="367" t="str">
        <f>J407&amp;" "&amp;K407</f>
        <v>11400 rmt</v>
      </c>
      <c r="M407" s="319">
        <v>1</v>
      </c>
      <c r="N407" s="271" t="s">
        <v>81</v>
      </c>
      <c r="O407" s="327">
        <f>(300*16+1536*3.142*360^-1*120*2)*2*0.001</f>
        <v>16.034815999999999</v>
      </c>
      <c r="P407" s="271" t="s">
        <v>249</v>
      </c>
      <c r="Q407" s="324">
        <f>VLOOKUP(H407,BM!$B$3:$Y$62,22,FALSE)</f>
        <v>1.6</v>
      </c>
      <c r="R407" s="271" t="s">
        <v>162</v>
      </c>
      <c r="S407" s="290">
        <f t="shared" si="108"/>
        <v>25.655705600000001</v>
      </c>
      <c r="T407" s="275">
        <v>1</v>
      </c>
      <c r="U407" s="290">
        <f t="shared" si="110"/>
        <v>26.66</v>
      </c>
      <c r="V407" s="276" t="s">
        <v>48</v>
      </c>
    </row>
    <row r="408" spans="1:22" s="172" customFormat="1" ht="20.25" customHeight="1">
      <c r="A408" s="263" t="str">
        <f t="shared" si="107"/>
        <v/>
      </c>
      <c r="B408" s="263"/>
      <c r="C408" s="264">
        <f t="shared" si="117"/>
        <v>407</v>
      </c>
      <c r="D408" s="277" t="s">
        <v>1579</v>
      </c>
      <c r="E408" s="293">
        <f t="shared" si="109"/>
        <v>406</v>
      </c>
      <c r="F408" s="267" t="s">
        <v>149</v>
      </c>
      <c r="G408" s="267"/>
      <c r="H408" s="268"/>
      <c r="I408" s="268"/>
      <c r="J408" s="269"/>
      <c r="K408" s="269"/>
      <c r="L408" s="269"/>
      <c r="M408" s="319">
        <v>1</v>
      </c>
      <c r="N408" s="296" t="s">
        <v>81</v>
      </c>
      <c r="O408" s="272">
        <v>1</v>
      </c>
      <c r="P408" s="271" t="s">
        <v>81</v>
      </c>
      <c r="Q408" s="273">
        <v>8</v>
      </c>
      <c r="R408" s="271" t="s">
        <v>162</v>
      </c>
      <c r="S408" s="290">
        <f t="shared" si="108"/>
        <v>8</v>
      </c>
      <c r="T408" s="275">
        <v>1</v>
      </c>
      <c r="U408" s="290">
        <f t="shared" si="110"/>
        <v>9</v>
      </c>
      <c r="V408" s="276" t="s">
        <v>48</v>
      </c>
    </row>
    <row r="409" spans="1:22" s="172" customFormat="1" ht="20.25" customHeight="1">
      <c r="A409" s="263">
        <f t="shared" si="107"/>
        <v>408</v>
      </c>
      <c r="B409" s="263" t="s">
        <v>1263</v>
      </c>
      <c r="C409" s="264">
        <f t="shared" si="117"/>
        <v>408</v>
      </c>
      <c r="D409" s="265" t="s">
        <v>1580</v>
      </c>
      <c r="E409" s="279">
        <f>C402</f>
        <v>401</v>
      </c>
      <c r="F409" s="267"/>
      <c r="G409" s="267"/>
      <c r="H409" s="268"/>
      <c r="I409" s="268"/>
      <c r="J409" s="269"/>
      <c r="K409" s="269"/>
      <c r="L409" s="269"/>
      <c r="M409" s="319"/>
      <c r="N409" s="271"/>
      <c r="O409" s="280"/>
      <c r="P409" s="271"/>
      <c r="Q409" s="281"/>
      <c r="R409" s="271"/>
      <c r="S409" s="312"/>
      <c r="T409" s="282"/>
      <c r="U409" s="312"/>
      <c r="V409" s="276"/>
    </row>
    <row r="410" spans="1:22" s="172" customFormat="1" ht="20.25" customHeight="1">
      <c r="A410" s="263" t="str">
        <f t="shared" si="107"/>
        <v/>
      </c>
      <c r="B410" s="263"/>
      <c r="C410" s="264">
        <f t="shared" si="117"/>
        <v>409</v>
      </c>
      <c r="D410" s="277" t="s">
        <v>1581</v>
      </c>
      <c r="E410" s="293"/>
      <c r="F410" s="267" t="s">
        <v>402</v>
      </c>
      <c r="G410" s="267"/>
      <c r="H410" s="268"/>
      <c r="I410" s="268"/>
      <c r="J410" s="269"/>
      <c r="K410" s="269"/>
      <c r="L410" s="269"/>
      <c r="M410" s="319">
        <v>1</v>
      </c>
      <c r="N410" s="296" t="s">
        <v>81</v>
      </c>
      <c r="O410" s="272">
        <v>1</v>
      </c>
      <c r="P410" s="271" t="s">
        <v>81</v>
      </c>
      <c r="Q410" s="273">
        <v>4</v>
      </c>
      <c r="R410" s="271" t="s">
        <v>162</v>
      </c>
      <c r="S410" s="290">
        <f t="shared" si="108"/>
        <v>4</v>
      </c>
      <c r="T410" s="275">
        <v>1</v>
      </c>
      <c r="U410" s="290">
        <f t="shared" si="110"/>
        <v>5</v>
      </c>
      <c r="V410" s="276" t="s">
        <v>48</v>
      </c>
    </row>
    <row r="411" spans="1:22" s="172" customFormat="1" ht="20.25" customHeight="1">
      <c r="A411" s="263" t="str">
        <f t="shared" si="107"/>
        <v/>
      </c>
      <c r="B411" s="263"/>
      <c r="C411" s="264">
        <f t="shared" si="117"/>
        <v>410</v>
      </c>
      <c r="D411" s="277" t="s">
        <v>1582</v>
      </c>
      <c r="E411" s="293">
        <f t="shared" si="109"/>
        <v>409</v>
      </c>
      <c r="F411" s="267" t="s">
        <v>172</v>
      </c>
      <c r="G411" s="267"/>
      <c r="H411" s="268"/>
      <c r="I411" s="268"/>
      <c r="J411" s="269"/>
      <c r="K411" s="269"/>
      <c r="L411" s="269"/>
      <c r="M411" s="319">
        <v>1</v>
      </c>
      <c r="N411" s="296" t="s">
        <v>81</v>
      </c>
      <c r="O411" s="272">
        <v>1</v>
      </c>
      <c r="P411" s="271" t="s">
        <v>81</v>
      </c>
      <c r="Q411" s="273">
        <v>4</v>
      </c>
      <c r="R411" s="271" t="s">
        <v>162</v>
      </c>
      <c r="S411" s="290">
        <f t="shared" si="108"/>
        <v>4</v>
      </c>
      <c r="T411" s="275">
        <v>1</v>
      </c>
      <c r="U411" s="290">
        <f t="shared" si="110"/>
        <v>5</v>
      </c>
      <c r="V411" s="276" t="s">
        <v>48</v>
      </c>
    </row>
    <row r="412" spans="1:22" s="172" customFormat="1" ht="20.25" customHeight="1">
      <c r="A412" s="263" t="str">
        <f t="shared" ref="A412:A475" si="126">IF(B412="Yes",C412,"")</f>
        <v/>
      </c>
      <c r="B412" s="263"/>
      <c r="C412" s="264">
        <f t="shared" si="117"/>
        <v>411</v>
      </c>
      <c r="D412" s="277" t="s">
        <v>1583</v>
      </c>
      <c r="E412" s="293">
        <f t="shared" si="109"/>
        <v>410</v>
      </c>
      <c r="F412" s="267" t="s">
        <v>115</v>
      </c>
      <c r="G412" s="267"/>
      <c r="H412" s="316">
        <v>12</v>
      </c>
      <c r="I412" s="316"/>
      <c r="J412" s="269"/>
      <c r="K412" s="269"/>
      <c r="L412" s="269"/>
      <c r="M412" s="319">
        <v>6</v>
      </c>
      <c r="N412" s="271" t="s">
        <v>139</v>
      </c>
      <c r="O412" s="327">
        <f>430*12*0.001</f>
        <v>5.16</v>
      </c>
      <c r="P412" s="271" t="s">
        <v>249</v>
      </c>
      <c r="Q412" s="324">
        <f>VLOOKUP(H412,BM!$B$3:$Y$62,22,FALSE)</f>
        <v>1.6</v>
      </c>
      <c r="R412" s="271" t="s">
        <v>162</v>
      </c>
      <c r="S412" s="290">
        <f t="shared" si="108"/>
        <v>8.2560000000000002</v>
      </c>
      <c r="T412" s="275">
        <v>1</v>
      </c>
      <c r="U412" s="290">
        <f t="shared" si="110"/>
        <v>9.26</v>
      </c>
      <c r="V412" s="276" t="s">
        <v>48</v>
      </c>
    </row>
    <row r="413" spans="1:22" s="172" customFormat="1" ht="20.25" customHeight="1">
      <c r="A413" s="263">
        <f t="shared" si="126"/>
        <v>412</v>
      </c>
      <c r="B413" s="263" t="s">
        <v>1263</v>
      </c>
      <c r="C413" s="264">
        <f t="shared" si="117"/>
        <v>412</v>
      </c>
      <c r="D413" s="265" t="s">
        <v>1584</v>
      </c>
      <c r="E413" s="279">
        <v>408</v>
      </c>
      <c r="F413" s="267"/>
      <c r="G413" s="267"/>
      <c r="H413" s="268"/>
      <c r="I413" s="268"/>
      <c r="J413" s="269"/>
      <c r="K413" s="269"/>
      <c r="L413" s="269"/>
      <c r="M413" s="319"/>
      <c r="N413" s="271"/>
      <c r="O413" s="280"/>
      <c r="P413" s="271"/>
      <c r="Q413" s="281"/>
      <c r="R413" s="271"/>
      <c r="S413" s="312"/>
      <c r="T413" s="282"/>
      <c r="U413" s="312"/>
      <c r="V413" s="276"/>
    </row>
    <row r="414" spans="1:22" s="172" customFormat="1" ht="20.25" customHeight="1">
      <c r="A414" s="263" t="str">
        <f t="shared" si="126"/>
        <v/>
      </c>
      <c r="B414" s="263"/>
      <c r="C414" s="264">
        <f t="shared" si="117"/>
        <v>413</v>
      </c>
      <c r="D414" s="265" t="s">
        <v>1585</v>
      </c>
      <c r="E414" s="293">
        <f t="shared" ref="E414:E475" si="127">C413</f>
        <v>412</v>
      </c>
      <c r="F414" s="267" t="s">
        <v>44</v>
      </c>
      <c r="G414" s="267"/>
      <c r="H414" s="316">
        <v>12</v>
      </c>
      <c r="I414" s="316"/>
      <c r="J414" s="314">
        <v>5553</v>
      </c>
      <c r="K414" s="322" t="s">
        <v>1835</v>
      </c>
      <c r="L414" s="367" t="str">
        <f t="shared" ref="L414:L415" si="128">J414&amp;" "&amp;K414</f>
        <v>5553 lg</v>
      </c>
      <c r="M414" s="319">
        <v>1</v>
      </c>
      <c r="N414" s="296" t="s">
        <v>81</v>
      </c>
      <c r="O414" s="272">
        <v>1</v>
      </c>
      <c r="P414" s="271"/>
      <c r="Q414" s="273">
        <v>12</v>
      </c>
      <c r="R414" s="271" t="s">
        <v>162</v>
      </c>
      <c r="S414" s="290">
        <f t="shared" ref="S414:S475" si="129">O414*Q414</f>
        <v>12</v>
      </c>
      <c r="T414" s="275">
        <v>1</v>
      </c>
      <c r="U414" s="290">
        <f t="shared" ref="U414:U477" si="130">ROUND(S414+T414,2)</f>
        <v>13</v>
      </c>
      <c r="V414" s="276" t="s">
        <v>48</v>
      </c>
    </row>
    <row r="415" spans="1:22" s="172" customFormat="1" ht="20.25" customHeight="1">
      <c r="A415" s="263" t="str">
        <f t="shared" si="126"/>
        <v/>
      </c>
      <c r="B415" s="263"/>
      <c r="C415" s="264">
        <f t="shared" si="117"/>
        <v>414</v>
      </c>
      <c r="D415" s="277" t="s">
        <v>1316</v>
      </c>
      <c r="E415" s="293">
        <f t="shared" si="127"/>
        <v>413</v>
      </c>
      <c r="F415" s="267" t="s">
        <v>44</v>
      </c>
      <c r="G415" s="267"/>
      <c r="H415" s="316">
        <v>12</v>
      </c>
      <c r="I415" s="316"/>
      <c r="J415" s="308">
        <f>J414</f>
        <v>5553</v>
      </c>
      <c r="K415" s="308" t="str">
        <f>K414</f>
        <v>lg</v>
      </c>
      <c r="L415" s="367" t="str">
        <f t="shared" si="128"/>
        <v>5553 lg</v>
      </c>
      <c r="M415" s="326">
        <f>M414</f>
        <v>1</v>
      </c>
      <c r="N415" s="296" t="s">
        <v>81</v>
      </c>
      <c r="O415" s="327">
        <f>O414</f>
        <v>1</v>
      </c>
      <c r="P415" s="271"/>
      <c r="Q415" s="273">
        <v>1</v>
      </c>
      <c r="R415" s="271" t="s">
        <v>41</v>
      </c>
      <c r="S415" s="290">
        <f t="shared" si="129"/>
        <v>1</v>
      </c>
      <c r="T415" s="275"/>
      <c r="U415" s="290">
        <f t="shared" si="130"/>
        <v>1</v>
      </c>
      <c r="V415" s="276" t="s">
        <v>42</v>
      </c>
    </row>
    <row r="416" spans="1:22" s="172" customFormat="1" ht="20.25" customHeight="1">
      <c r="A416" s="263">
        <f t="shared" si="126"/>
        <v>415</v>
      </c>
      <c r="B416" s="263" t="s">
        <v>1263</v>
      </c>
      <c r="C416" s="264">
        <f t="shared" si="117"/>
        <v>415</v>
      </c>
      <c r="D416" s="265" t="s">
        <v>1586</v>
      </c>
      <c r="E416" s="279"/>
      <c r="F416" s="267"/>
      <c r="G416" s="267"/>
      <c r="H416" s="268"/>
      <c r="I416" s="268"/>
      <c r="J416" s="269"/>
      <c r="K416" s="269"/>
      <c r="L416" s="269"/>
      <c r="M416" s="319"/>
      <c r="N416" s="271"/>
      <c r="O416" s="280"/>
      <c r="P416" s="271"/>
      <c r="Q416" s="281"/>
      <c r="R416" s="271"/>
      <c r="S416" s="312"/>
      <c r="T416" s="282"/>
      <c r="U416" s="312"/>
      <c r="V416" s="276"/>
    </row>
    <row r="417" spans="1:22" s="172" customFormat="1" ht="20.25" customHeight="1">
      <c r="A417" s="263">
        <f t="shared" si="126"/>
        <v>416</v>
      </c>
      <c r="B417" s="263" t="s">
        <v>1263</v>
      </c>
      <c r="C417" s="264">
        <f t="shared" si="117"/>
        <v>416</v>
      </c>
      <c r="D417" s="265" t="s">
        <v>1587</v>
      </c>
      <c r="E417" s="279">
        <f>C6</f>
        <v>5</v>
      </c>
      <c r="F417" s="267"/>
      <c r="G417" s="267"/>
      <c r="H417" s="268"/>
      <c r="I417" s="268"/>
      <c r="J417" s="269"/>
      <c r="K417" s="269"/>
      <c r="L417" s="269"/>
      <c r="M417" s="319"/>
      <c r="N417" s="271"/>
      <c r="O417" s="280"/>
      <c r="P417" s="271"/>
      <c r="Q417" s="281"/>
      <c r="R417" s="271"/>
      <c r="S417" s="312"/>
      <c r="T417" s="282"/>
      <c r="U417" s="312"/>
      <c r="V417" s="276"/>
    </row>
    <row r="418" spans="1:22" s="172" customFormat="1" ht="20.25" customHeight="1">
      <c r="A418" s="263" t="str">
        <f t="shared" si="126"/>
        <v/>
      </c>
      <c r="B418" s="263"/>
      <c r="C418" s="264">
        <f t="shared" si="117"/>
        <v>417</v>
      </c>
      <c r="D418" s="277" t="s">
        <v>1588</v>
      </c>
      <c r="E418" s="293">
        <f t="shared" si="127"/>
        <v>416</v>
      </c>
      <c r="F418" s="267" t="s">
        <v>37</v>
      </c>
      <c r="G418" s="267"/>
      <c r="H418" s="268"/>
      <c r="I418" s="268"/>
      <c r="J418" s="269"/>
      <c r="K418" s="269"/>
      <c r="L418" s="269"/>
      <c r="M418" s="319">
        <v>1</v>
      </c>
      <c r="N418" s="296" t="s">
        <v>81</v>
      </c>
      <c r="O418" s="272">
        <v>1</v>
      </c>
      <c r="P418" s="296" t="s">
        <v>81</v>
      </c>
      <c r="Q418" s="273">
        <v>4</v>
      </c>
      <c r="R418" s="271" t="s">
        <v>41</v>
      </c>
      <c r="S418" s="290">
        <f t="shared" si="129"/>
        <v>4</v>
      </c>
      <c r="T418" s="275"/>
      <c r="U418" s="290">
        <f t="shared" si="130"/>
        <v>4</v>
      </c>
      <c r="V418" s="276" t="s">
        <v>42</v>
      </c>
    </row>
    <row r="419" spans="1:22" s="172" customFormat="1" ht="20.25" customHeight="1">
      <c r="A419" s="263" t="str">
        <f t="shared" si="126"/>
        <v/>
      </c>
      <c r="B419" s="263"/>
      <c r="C419" s="264">
        <f t="shared" si="117"/>
        <v>418</v>
      </c>
      <c r="D419" s="277" t="s">
        <v>1589</v>
      </c>
      <c r="E419" s="293">
        <f t="shared" si="127"/>
        <v>417</v>
      </c>
      <c r="F419" s="267" t="s">
        <v>201</v>
      </c>
      <c r="G419" s="267"/>
      <c r="H419" s="316">
        <v>12</v>
      </c>
      <c r="I419" s="316"/>
      <c r="J419" s="314">
        <v>512</v>
      </c>
      <c r="K419" s="322" t="s">
        <v>1831</v>
      </c>
      <c r="L419" s="367" t="str">
        <f>J419&amp;" "&amp;K419</f>
        <v>512 mm</v>
      </c>
      <c r="M419" s="319">
        <v>1</v>
      </c>
      <c r="N419" s="271" t="s">
        <v>81</v>
      </c>
      <c r="O419" s="297">
        <f t="shared" ref="O419:O423" si="131">LEFT(L419,SEARCH(" ",L419,1)-1)*M419*0.001</f>
        <v>0.51200000000000001</v>
      </c>
      <c r="P419" s="271" t="s">
        <v>139</v>
      </c>
      <c r="Q419" s="324">
        <f>VLOOKUP(H419,BM!$B$3:$Y$62,2,FALSE)</f>
        <v>0.1</v>
      </c>
      <c r="R419" s="271" t="s">
        <v>112</v>
      </c>
      <c r="S419" s="290">
        <f t="shared" si="129"/>
        <v>5.1200000000000002E-2</v>
      </c>
      <c r="T419" s="275">
        <v>1</v>
      </c>
      <c r="U419" s="290">
        <f t="shared" si="130"/>
        <v>1.05</v>
      </c>
      <c r="V419" s="276" t="s">
        <v>48</v>
      </c>
    </row>
    <row r="420" spans="1:22" s="172" customFormat="1" ht="20.25" customHeight="1">
      <c r="A420" s="263" t="str">
        <f t="shared" si="126"/>
        <v/>
      </c>
      <c r="B420" s="263"/>
      <c r="C420" s="264">
        <f t="shared" si="117"/>
        <v>419</v>
      </c>
      <c r="D420" s="277" t="s">
        <v>1590</v>
      </c>
      <c r="E420" s="293">
        <f t="shared" si="127"/>
        <v>418</v>
      </c>
      <c r="F420" s="267" t="s">
        <v>52</v>
      </c>
      <c r="G420" s="267"/>
      <c r="H420" s="308">
        <f t="shared" ref="H420:H423" si="132">H419</f>
        <v>12</v>
      </c>
      <c r="I420" s="308"/>
      <c r="J420" s="308">
        <f>J419</f>
        <v>512</v>
      </c>
      <c r="K420" s="308" t="str">
        <f>K419</f>
        <v>mm</v>
      </c>
      <c r="L420" s="367" t="str">
        <f>J420&amp;" "&amp;K420</f>
        <v>512 mm</v>
      </c>
      <c r="M420" s="319">
        <v>1</v>
      </c>
      <c r="N420" s="271" t="s">
        <v>81</v>
      </c>
      <c r="O420" s="297">
        <f t="shared" si="131"/>
        <v>0.51200000000000001</v>
      </c>
      <c r="P420" s="271" t="s">
        <v>139</v>
      </c>
      <c r="Q420" s="324">
        <f>VLOOKUP(H420,BM!$B$3:$Y$62,3,FALSE)</f>
        <v>0.25</v>
      </c>
      <c r="R420" s="271" t="s">
        <v>112</v>
      </c>
      <c r="S420" s="290">
        <f t="shared" si="129"/>
        <v>0.128</v>
      </c>
      <c r="T420" s="275">
        <v>1</v>
      </c>
      <c r="U420" s="290">
        <f t="shared" si="130"/>
        <v>1.1299999999999999</v>
      </c>
      <c r="V420" s="276" t="s">
        <v>48</v>
      </c>
    </row>
    <row r="421" spans="1:22" s="172" customFormat="1" ht="20.25" customHeight="1">
      <c r="A421" s="263" t="str">
        <f t="shared" si="126"/>
        <v/>
      </c>
      <c r="B421" s="263"/>
      <c r="C421" s="264">
        <f t="shared" si="117"/>
        <v>420</v>
      </c>
      <c r="D421" s="277" t="s">
        <v>1591</v>
      </c>
      <c r="E421" s="293">
        <f t="shared" si="127"/>
        <v>419</v>
      </c>
      <c r="F421" s="267" t="s">
        <v>61</v>
      </c>
      <c r="G421" s="267"/>
      <c r="H421" s="308">
        <f t="shared" si="132"/>
        <v>12</v>
      </c>
      <c r="I421" s="308"/>
      <c r="J421" s="308">
        <f t="shared" ref="J421:K421" si="133">J420</f>
        <v>512</v>
      </c>
      <c r="K421" s="308" t="str">
        <f t="shared" si="133"/>
        <v>mm</v>
      </c>
      <c r="L421" s="367" t="str">
        <f>J421&amp;" "&amp;K421</f>
        <v>512 mm</v>
      </c>
      <c r="M421" s="319">
        <v>1</v>
      </c>
      <c r="N421" s="271" t="s">
        <v>81</v>
      </c>
      <c r="O421" s="297">
        <f t="shared" si="131"/>
        <v>0.51200000000000001</v>
      </c>
      <c r="P421" s="271" t="s">
        <v>139</v>
      </c>
      <c r="Q421" s="324">
        <f>VLOOKUP(H421,BM!$B$3:$Y$62,4,FALSE)</f>
        <v>0.15</v>
      </c>
      <c r="R421" s="271" t="s">
        <v>112</v>
      </c>
      <c r="S421" s="290">
        <f t="shared" si="129"/>
        <v>7.6799999999999993E-2</v>
      </c>
      <c r="T421" s="275">
        <v>1</v>
      </c>
      <c r="U421" s="290">
        <f t="shared" si="130"/>
        <v>1.08</v>
      </c>
      <c r="V421" s="276" t="s">
        <v>48</v>
      </c>
    </row>
    <row r="422" spans="1:22" s="172" customFormat="1" ht="20.25" customHeight="1">
      <c r="A422" s="263" t="str">
        <f t="shared" si="126"/>
        <v/>
      </c>
      <c r="B422" s="263"/>
      <c r="C422" s="264">
        <f t="shared" si="117"/>
        <v>421</v>
      </c>
      <c r="D422" s="277" t="s">
        <v>1592</v>
      </c>
      <c r="E422" s="293">
        <f t="shared" si="127"/>
        <v>420</v>
      </c>
      <c r="F422" s="267" t="s">
        <v>224</v>
      </c>
      <c r="G422" s="267"/>
      <c r="H422" s="308">
        <f t="shared" si="132"/>
        <v>12</v>
      </c>
      <c r="I422" s="308"/>
      <c r="J422" s="308">
        <f t="shared" ref="J422:K422" si="134">J421</f>
        <v>512</v>
      </c>
      <c r="K422" s="308" t="str">
        <f t="shared" si="134"/>
        <v>mm</v>
      </c>
      <c r="L422" s="367" t="str">
        <f>J422&amp;" "&amp;K422</f>
        <v>512 mm</v>
      </c>
      <c r="M422" s="319">
        <v>1</v>
      </c>
      <c r="N422" s="271" t="s">
        <v>81</v>
      </c>
      <c r="O422" s="297">
        <f t="shared" si="131"/>
        <v>0.51200000000000001</v>
      </c>
      <c r="P422" s="271" t="s">
        <v>139</v>
      </c>
      <c r="Q422" s="324">
        <f>VLOOKUP(H422,BM!$B$3:$Y$62,5,FALSE)</f>
        <v>0.5</v>
      </c>
      <c r="R422" s="271" t="s">
        <v>112</v>
      </c>
      <c r="S422" s="290">
        <f t="shared" si="129"/>
        <v>0.25600000000000001</v>
      </c>
      <c r="T422" s="275">
        <v>1</v>
      </c>
      <c r="U422" s="290">
        <f t="shared" si="130"/>
        <v>1.26</v>
      </c>
      <c r="V422" s="276" t="s">
        <v>48</v>
      </c>
    </row>
    <row r="423" spans="1:22" s="172" customFormat="1" ht="20.25" customHeight="1">
      <c r="A423" s="263" t="str">
        <f t="shared" si="126"/>
        <v/>
      </c>
      <c r="B423" s="263"/>
      <c r="C423" s="264">
        <f t="shared" si="117"/>
        <v>422</v>
      </c>
      <c r="D423" s="277" t="s">
        <v>1593</v>
      </c>
      <c r="E423" s="293">
        <f t="shared" si="127"/>
        <v>421</v>
      </c>
      <c r="F423" s="267" t="s">
        <v>61</v>
      </c>
      <c r="G423" s="267"/>
      <c r="H423" s="308">
        <f t="shared" si="132"/>
        <v>12</v>
      </c>
      <c r="I423" s="308"/>
      <c r="J423" s="308">
        <f t="shared" ref="J423:K423" si="135">J422</f>
        <v>512</v>
      </c>
      <c r="K423" s="308" t="str">
        <f t="shared" si="135"/>
        <v>mm</v>
      </c>
      <c r="L423" s="367" t="str">
        <f>J423&amp;" "&amp;K423</f>
        <v>512 mm</v>
      </c>
      <c r="M423" s="319">
        <v>1</v>
      </c>
      <c r="N423" s="271" t="s">
        <v>81</v>
      </c>
      <c r="O423" s="297">
        <f t="shared" si="131"/>
        <v>0.51200000000000001</v>
      </c>
      <c r="P423" s="271" t="s">
        <v>139</v>
      </c>
      <c r="Q423" s="324">
        <f>VLOOKUP(H423,BM!$B$3:$Y$62,6,FALSE)</f>
        <v>1</v>
      </c>
      <c r="R423" s="271" t="s">
        <v>112</v>
      </c>
      <c r="S423" s="290">
        <f t="shared" si="129"/>
        <v>0.51200000000000001</v>
      </c>
      <c r="T423" s="275">
        <v>1</v>
      </c>
      <c r="U423" s="290">
        <f t="shared" si="130"/>
        <v>1.51</v>
      </c>
      <c r="V423" s="276" t="s">
        <v>48</v>
      </c>
    </row>
    <row r="424" spans="1:22" s="172" customFormat="1" ht="20.25" customHeight="1">
      <c r="A424" s="263">
        <f t="shared" si="126"/>
        <v>423</v>
      </c>
      <c r="B424" s="263" t="s">
        <v>1263</v>
      </c>
      <c r="C424" s="264">
        <f t="shared" si="117"/>
        <v>423</v>
      </c>
      <c r="D424" s="265" t="s">
        <v>1594</v>
      </c>
      <c r="E424" s="279">
        <f>C417</f>
        <v>416</v>
      </c>
      <c r="F424" s="267"/>
      <c r="G424" s="267"/>
      <c r="H424" s="268"/>
      <c r="I424" s="268"/>
      <c r="J424" s="269"/>
      <c r="K424" s="269"/>
      <c r="L424" s="269"/>
      <c r="M424" s="319"/>
      <c r="N424" s="271"/>
      <c r="O424" s="280"/>
      <c r="P424" s="271"/>
      <c r="Q424" s="281"/>
      <c r="R424" s="271"/>
      <c r="S424" s="312"/>
      <c r="T424" s="282"/>
      <c r="U424" s="312"/>
      <c r="V424" s="276"/>
    </row>
    <row r="425" spans="1:22" s="172" customFormat="1" ht="20.25" customHeight="1">
      <c r="A425" s="263" t="str">
        <f t="shared" si="126"/>
        <v/>
      </c>
      <c r="B425" s="263"/>
      <c r="C425" s="264">
        <f t="shared" si="117"/>
        <v>424</v>
      </c>
      <c r="D425" s="277" t="s">
        <v>1595</v>
      </c>
      <c r="E425" s="293"/>
      <c r="F425" s="267" t="s">
        <v>286</v>
      </c>
      <c r="G425" s="267"/>
      <c r="H425" s="308">
        <f>H423</f>
        <v>12</v>
      </c>
      <c r="I425" s="308"/>
      <c r="J425" s="308">
        <f>J423</f>
        <v>512</v>
      </c>
      <c r="K425" s="308" t="str">
        <f>K423</f>
        <v>mm</v>
      </c>
      <c r="L425" s="367" t="str">
        <f>J425&amp;" "&amp;K425</f>
        <v>512 mm</v>
      </c>
      <c r="M425" s="319">
        <v>1</v>
      </c>
      <c r="N425" s="271" t="s">
        <v>81</v>
      </c>
      <c r="O425" s="272">
        <v>1</v>
      </c>
      <c r="P425" s="271" t="s">
        <v>139</v>
      </c>
      <c r="Q425" s="273">
        <v>3</v>
      </c>
      <c r="R425" s="271" t="s">
        <v>112</v>
      </c>
      <c r="S425" s="290">
        <f t="shared" si="129"/>
        <v>3</v>
      </c>
      <c r="T425" s="275">
        <v>1</v>
      </c>
      <c r="U425" s="290">
        <f t="shared" si="130"/>
        <v>4</v>
      </c>
      <c r="V425" s="276" t="s">
        <v>48</v>
      </c>
    </row>
    <row r="426" spans="1:22" s="172" customFormat="1" ht="20.25" customHeight="1">
      <c r="A426" s="263" t="str">
        <f t="shared" si="126"/>
        <v/>
      </c>
      <c r="B426" s="263"/>
      <c r="C426" s="264">
        <f t="shared" si="117"/>
        <v>425</v>
      </c>
      <c r="D426" s="277" t="s">
        <v>1596</v>
      </c>
      <c r="E426" s="293">
        <f t="shared" si="127"/>
        <v>424</v>
      </c>
      <c r="F426" s="267" t="s">
        <v>420</v>
      </c>
      <c r="G426" s="267"/>
      <c r="H426" s="308">
        <f t="shared" ref="H426:H428" si="136">H425</f>
        <v>12</v>
      </c>
      <c r="I426" s="308"/>
      <c r="J426" s="308">
        <f t="shared" ref="J426:K426" si="137">J425</f>
        <v>512</v>
      </c>
      <c r="K426" s="308" t="str">
        <f t="shared" si="137"/>
        <v>mm</v>
      </c>
      <c r="L426" s="367" t="str">
        <f>J426&amp;" "&amp;K426</f>
        <v>512 mm</v>
      </c>
      <c r="M426" s="319">
        <v>1</v>
      </c>
      <c r="N426" s="271" t="s">
        <v>81</v>
      </c>
      <c r="O426" s="297">
        <f>LEFT(L426,SEARCH(" ",L426,1)-1)*M426*0.001*2</f>
        <v>1.024</v>
      </c>
      <c r="P426" s="271" t="s">
        <v>139</v>
      </c>
      <c r="Q426" s="324">
        <f>VLOOKUP(H426,BM!$B$3:$Y$62,8,FALSE)</f>
        <v>0.3</v>
      </c>
      <c r="R426" s="271" t="s">
        <v>112</v>
      </c>
      <c r="S426" s="290">
        <f t="shared" si="129"/>
        <v>0.30719999999999997</v>
      </c>
      <c r="T426" s="275">
        <v>1</v>
      </c>
      <c r="U426" s="290">
        <f t="shared" si="130"/>
        <v>1.31</v>
      </c>
      <c r="V426" s="276" t="s">
        <v>48</v>
      </c>
    </row>
    <row r="427" spans="1:22" s="172" customFormat="1" ht="20.25" customHeight="1">
      <c r="A427" s="263" t="str">
        <f t="shared" si="126"/>
        <v/>
      </c>
      <c r="B427" s="263"/>
      <c r="C427" s="264">
        <f t="shared" si="117"/>
        <v>426</v>
      </c>
      <c r="D427" s="277" t="s">
        <v>1597</v>
      </c>
      <c r="E427" s="293">
        <f t="shared" si="127"/>
        <v>425</v>
      </c>
      <c r="F427" s="267" t="s">
        <v>348</v>
      </c>
      <c r="G427" s="267"/>
      <c r="H427" s="308">
        <f t="shared" si="136"/>
        <v>12</v>
      </c>
      <c r="I427" s="308"/>
      <c r="J427" s="308">
        <f t="shared" ref="J427:K427" si="138">J426</f>
        <v>512</v>
      </c>
      <c r="K427" s="308" t="str">
        <f t="shared" si="138"/>
        <v>mm</v>
      </c>
      <c r="L427" s="367" t="str">
        <f>J427&amp;" "&amp;K427</f>
        <v>512 mm</v>
      </c>
      <c r="M427" s="319">
        <v>1</v>
      </c>
      <c r="N427" s="271" t="s">
        <v>81</v>
      </c>
      <c r="O427" s="297">
        <f>LEFT(L427,SEARCH(" ",L427,1)-1)*M427*0.001*2</f>
        <v>1.024</v>
      </c>
      <c r="P427" s="271" t="s">
        <v>139</v>
      </c>
      <c r="Q427" s="324">
        <f>VLOOKUP(H427,BM!$B$3:$Y$62,9,FALSE)</f>
        <v>1</v>
      </c>
      <c r="R427" s="271" t="s">
        <v>112</v>
      </c>
      <c r="S427" s="290">
        <f t="shared" si="129"/>
        <v>1.024</v>
      </c>
      <c r="T427" s="275">
        <v>1</v>
      </c>
      <c r="U427" s="290">
        <f t="shared" si="130"/>
        <v>2.02</v>
      </c>
      <c r="V427" s="276" t="s">
        <v>48</v>
      </c>
    </row>
    <row r="428" spans="1:22" s="172" customFormat="1" ht="20.25" customHeight="1">
      <c r="A428" s="263" t="str">
        <f t="shared" si="126"/>
        <v/>
      </c>
      <c r="B428" s="263"/>
      <c r="C428" s="264">
        <f t="shared" si="117"/>
        <v>427</v>
      </c>
      <c r="D428" s="277" t="s">
        <v>1598</v>
      </c>
      <c r="E428" s="293">
        <f t="shared" si="127"/>
        <v>426</v>
      </c>
      <c r="F428" s="267" t="s">
        <v>286</v>
      </c>
      <c r="G428" s="267"/>
      <c r="H428" s="308">
        <f t="shared" si="136"/>
        <v>12</v>
      </c>
      <c r="I428" s="308"/>
      <c r="J428" s="308">
        <f t="shared" ref="J428:K428" si="139">J427</f>
        <v>512</v>
      </c>
      <c r="K428" s="308" t="str">
        <f t="shared" si="139"/>
        <v>mm</v>
      </c>
      <c r="L428" s="367" t="str">
        <f>J428&amp;" "&amp;K428</f>
        <v>512 mm</v>
      </c>
      <c r="M428" s="319">
        <v>1</v>
      </c>
      <c r="N428" s="271" t="s">
        <v>81</v>
      </c>
      <c r="O428" s="305">
        <v>1</v>
      </c>
      <c r="P428" s="296" t="s">
        <v>81</v>
      </c>
      <c r="Q428" s="273">
        <v>3</v>
      </c>
      <c r="R428" s="271" t="s">
        <v>112</v>
      </c>
      <c r="S428" s="290">
        <f t="shared" si="129"/>
        <v>3</v>
      </c>
      <c r="T428" s="275">
        <v>1</v>
      </c>
      <c r="U428" s="290">
        <f t="shared" si="130"/>
        <v>4</v>
      </c>
      <c r="V428" s="276" t="s">
        <v>48</v>
      </c>
    </row>
    <row r="429" spans="1:22" s="172" customFormat="1" ht="20.25" customHeight="1">
      <c r="A429" s="263">
        <f t="shared" si="126"/>
        <v>428</v>
      </c>
      <c r="B429" s="263" t="s">
        <v>1263</v>
      </c>
      <c r="C429" s="264">
        <f t="shared" si="117"/>
        <v>428</v>
      </c>
      <c r="D429" s="265" t="s">
        <v>1599</v>
      </c>
      <c r="E429" s="279">
        <f>C424</f>
        <v>423</v>
      </c>
      <c r="F429" s="267"/>
      <c r="G429" s="267"/>
      <c r="H429" s="268"/>
      <c r="I429" s="268"/>
      <c r="J429" s="269"/>
      <c r="K429" s="269"/>
      <c r="L429" s="269"/>
      <c r="M429" s="319"/>
      <c r="N429" s="271"/>
      <c r="O429" s="280"/>
      <c r="P429" s="271"/>
      <c r="Q429" s="281"/>
      <c r="R429" s="271"/>
      <c r="S429" s="312"/>
      <c r="T429" s="282"/>
      <c r="U429" s="312"/>
      <c r="V429" s="276"/>
    </row>
    <row r="430" spans="1:22" s="172" customFormat="1" ht="20.25" customHeight="1">
      <c r="A430" s="263" t="str">
        <f t="shared" si="126"/>
        <v/>
      </c>
      <c r="B430" s="263"/>
      <c r="C430" s="264">
        <f t="shared" si="117"/>
        <v>429</v>
      </c>
      <c r="D430" s="277" t="s">
        <v>1600</v>
      </c>
      <c r="E430" s="293"/>
      <c r="F430" s="267" t="s">
        <v>348</v>
      </c>
      <c r="G430" s="267"/>
      <c r="H430" s="316">
        <v>18</v>
      </c>
      <c r="I430" s="316"/>
      <c r="J430" s="308">
        <f>J428</f>
        <v>512</v>
      </c>
      <c r="K430" s="308" t="str">
        <f>K428</f>
        <v>mm</v>
      </c>
      <c r="L430" s="367" t="str">
        <f>J430&amp;" "&amp;K430</f>
        <v>512 mm</v>
      </c>
      <c r="M430" s="319">
        <v>1</v>
      </c>
      <c r="N430" s="271" t="s">
        <v>81</v>
      </c>
      <c r="O430" s="297">
        <f>LEFT(L430,SEARCH(" ",L430,1)-1)*M430*0.001*2</f>
        <v>1.024</v>
      </c>
      <c r="P430" s="271" t="s">
        <v>139</v>
      </c>
      <c r="Q430" s="324">
        <f>VLOOKUP(H430,BM!$B$3:$Y$62,9,FALSE)</f>
        <v>1</v>
      </c>
      <c r="R430" s="271" t="s">
        <v>112</v>
      </c>
      <c r="S430" s="290">
        <f t="shared" si="129"/>
        <v>1.024</v>
      </c>
      <c r="T430" s="275">
        <v>1</v>
      </c>
      <c r="U430" s="290">
        <f t="shared" si="130"/>
        <v>2.02</v>
      </c>
      <c r="V430" s="276" t="s">
        <v>48</v>
      </c>
    </row>
    <row r="431" spans="1:22" s="172" customFormat="1" ht="20.25" customHeight="1">
      <c r="A431" s="263" t="str">
        <f t="shared" si="126"/>
        <v/>
      </c>
      <c r="B431" s="263"/>
      <c r="C431" s="264">
        <f t="shared" si="117"/>
        <v>430</v>
      </c>
      <c r="D431" s="277" t="s">
        <v>1601</v>
      </c>
      <c r="E431" s="293">
        <f t="shared" si="127"/>
        <v>429</v>
      </c>
      <c r="F431" s="267" t="s">
        <v>111</v>
      </c>
      <c r="G431" s="267"/>
      <c r="H431" s="316">
        <v>18</v>
      </c>
      <c r="I431" s="316"/>
      <c r="J431" s="308">
        <f>J430</f>
        <v>512</v>
      </c>
      <c r="K431" s="308" t="str">
        <f>K430</f>
        <v>mm</v>
      </c>
      <c r="L431" s="367" t="str">
        <f>J431&amp;" "&amp;K431</f>
        <v>512 mm</v>
      </c>
      <c r="M431" s="319">
        <v>1</v>
      </c>
      <c r="N431" s="271" t="s">
        <v>81</v>
      </c>
      <c r="O431" s="297">
        <f>LEFT(L431,SEARCH(" ",L431,1)-1)*M431*0.001</f>
        <v>0.51200000000000001</v>
      </c>
      <c r="P431" s="271" t="s">
        <v>139</v>
      </c>
      <c r="Q431" s="324">
        <f>VLOOKUP(H431,BM!$B$3:$Y$62,10,FALSE)</f>
        <v>1</v>
      </c>
      <c r="R431" s="271" t="s">
        <v>112</v>
      </c>
      <c r="S431" s="290">
        <f t="shared" si="129"/>
        <v>0.51200000000000001</v>
      </c>
      <c r="T431" s="275">
        <v>1</v>
      </c>
      <c r="U431" s="290">
        <f t="shared" si="130"/>
        <v>1.51</v>
      </c>
      <c r="V431" s="276" t="s">
        <v>48</v>
      </c>
    </row>
    <row r="432" spans="1:22" s="172" customFormat="1" ht="20.25" customHeight="1">
      <c r="A432" s="263">
        <f t="shared" si="126"/>
        <v>431</v>
      </c>
      <c r="B432" s="263" t="s">
        <v>1263</v>
      </c>
      <c r="C432" s="264">
        <f t="shared" si="117"/>
        <v>431</v>
      </c>
      <c r="D432" s="265" t="s">
        <v>1602</v>
      </c>
      <c r="E432" s="279">
        <f>C429</f>
        <v>428</v>
      </c>
      <c r="F432" s="267"/>
      <c r="G432" s="267"/>
      <c r="H432" s="268"/>
      <c r="I432" s="268"/>
      <c r="J432" s="269"/>
      <c r="K432" s="269"/>
      <c r="L432" s="269"/>
      <c r="M432" s="319"/>
      <c r="N432" s="271"/>
      <c r="O432" s="280"/>
      <c r="P432" s="271"/>
      <c r="Q432" s="281"/>
      <c r="R432" s="271"/>
      <c r="S432" s="312"/>
      <c r="T432" s="282"/>
      <c r="U432" s="312"/>
      <c r="V432" s="276"/>
    </row>
    <row r="433" spans="1:22" s="172" customFormat="1" ht="20.25" customHeight="1">
      <c r="A433" s="263" t="str">
        <f t="shared" si="126"/>
        <v/>
      </c>
      <c r="B433" s="263"/>
      <c r="C433" s="264">
        <f t="shared" si="117"/>
        <v>432</v>
      </c>
      <c r="D433" s="277" t="s">
        <v>1603</v>
      </c>
      <c r="E433" s="293"/>
      <c r="F433" s="267" t="s">
        <v>201</v>
      </c>
      <c r="G433" s="267"/>
      <c r="H433" s="316">
        <v>18</v>
      </c>
      <c r="I433" s="316"/>
      <c r="J433" s="308">
        <f>J431</f>
        <v>512</v>
      </c>
      <c r="K433" s="308" t="str">
        <f>K431</f>
        <v>mm</v>
      </c>
      <c r="L433" s="367" t="str">
        <f>J433&amp;" "&amp;K433</f>
        <v>512 mm</v>
      </c>
      <c r="M433" s="319">
        <v>1</v>
      </c>
      <c r="N433" s="271" t="s">
        <v>81</v>
      </c>
      <c r="O433" s="272">
        <v>1</v>
      </c>
      <c r="P433" s="271" t="s">
        <v>139</v>
      </c>
      <c r="Q433" s="273">
        <v>1</v>
      </c>
      <c r="R433" s="271" t="s">
        <v>112</v>
      </c>
      <c r="S433" s="290">
        <f t="shared" si="129"/>
        <v>1</v>
      </c>
      <c r="T433" s="275">
        <v>1</v>
      </c>
      <c r="U433" s="290">
        <f t="shared" si="130"/>
        <v>2</v>
      </c>
      <c r="V433" s="276" t="s">
        <v>48</v>
      </c>
    </row>
    <row r="434" spans="1:22" s="172" customFormat="1" ht="20.25" customHeight="1">
      <c r="A434" s="263" t="str">
        <f t="shared" si="126"/>
        <v/>
      </c>
      <c r="B434" s="263"/>
      <c r="C434" s="264">
        <f t="shared" si="117"/>
        <v>433</v>
      </c>
      <c r="D434" s="277" t="s">
        <v>1604</v>
      </c>
      <c r="E434" s="293">
        <f t="shared" si="127"/>
        <v>432</v>
      </c>
      <c r="F434" s="267" t="s">
        <v>115</v>
      </c>
      <c r="G434" s="267"/>
      <c r="H434" s="316">
        <v>12</v>
      </c>
      <c r="I434" s="316"/>
      <c r="J434" s="308">
        <f t="shared" ref="J434" si="140">J433</f>
        <v>512</v>
      </c>
      <c r="K434" s="308" t="str">
        <f t="shared" ref="K434:L438" si="141">K433</f>
        <v>mm</v>
      </c>
      <c r="L434" s="367" t="str">
        <f>J434&amp;" "&amp;K434</f>
        <v>512 mm</v>
      </c>
      <c r="M434" s="319">
        <v>1</v>
      </c>
      <c r="N434" s="271" t="s">
        <v>81</v>
      </c>
      <c r="O434" s="297">
        <f t="shared" ref="O434:O437" si="142">LEFT(L434,SEARCH(" ",L434,1)-1)*M434*0.001</f>
        <v>0.51200000000000001</v>
      </c>
      <c r="P434" s="271" t="s">
        <v>139</v>
      </c>
      <c r="Q434" s="324">
        <f>VLOOKUP(H434,BM!$B$3:$Y$62,12,FALSE)</f>
        <v>2.5</v>
      </c>
      <c r="R434" s="271" t="s">
        <v>112</v>
      </c>
      <c r="S434" s="290">
        <f t="shared" si="129"/>
        <v>1.28</v>
      </c>
      <c r="T434" s="275">
        <v>1</v>
      </c>
      <c r="U434" s="290">
        <f t="shared" si="130"/>
        <v>2.2799999999999998</v>
      </c>
      <c r="V434" s="276" t="s">
        <v>48</v>
      </c>
    </row>
    <row r="435" spans="1:22" s="172" customFormat="1" ht="20.25" customHeight="1">
      <c r="A435" s="263" t="str">
        <f t="shared" si="126"/>
        <v/>
      </c>
      <c r="B435" s="263"/>
      <c r="C435" s="264">
        <f t="shared" si="117"/>
        <v>434</v>
      </c>
      <c r="D435" s="277" t="s">
        <v>1605</v>
      </c>
      <c r="E435" s="293">
        <f t="shared" si="127"/>
        <v>433</v>
      </c>
      <c r="F435" s="267" t="s">
        <v>121</v>
      </c>
      <c r="G435" s="267"/>
      <c r="H435" s="316">
        <v>18</v>
      </c>
      <c r="I435" s="316"/>
      <c r="J435" s="308">
        <f t="shared" ref="J435" si="143">J434</f>
        <v>512</v>
      </c>
      <c r="K435" s="308" t="str">
        <f t="shared" si="141"/>
        <v>mm</v>
      </c>
      <c r="L435" s="367" t="str">
        <f>J435&amp;" "&amp;K435</f>
        <v>512 mm</v>
      </c>
      <c r="M435" s="319">
        <v>1</v>
      </c>
      <c r="N435" s="271" t="s">
        <v>81</v>
      </c>
      <c r="O435" s="297">
        <f t="shared" si="142"/>
        <v>0.51200000000000001</v>
      </c>
      <c r="P435" s="271" t="s">
        <v>139</v>
      </c>
      <c r="Q435" s="324">
        <f>VLOOKUP(H435,BM!$B$3:$Y$62,18,FALSE)</f>
        <v>1</v>
      </c>
      <c r="R435" s="271" t="s">
        <v>112</v>
      </c>
      <c r="S435" s="290">
        <f t="shared" si="129"/>
        <v>0.51200000000000001</v>
      </c>
      <c r="T435" s="275">
        <v>1</v>
      </c>
      <c r="U435" s="290">
        <f t="shared" si="130"/>
        <v>1.51</v>
      </c>
      <c r="V435" s="276" t="s">
        <v>48</v>
      </c>
    </row>
    <row r="436" spans="1:22" s="172" customFormat="1" ht="20.25" customHeight="1">
      <c r="A436" s="263" t="str">
        <f t="shared" si="126"/>
        <v/>
      </c>
      <c r="B436" s="263"/>
      <c r="C436" s="264">
        <f t="shared" si="117"/>
        <v>435</v>
      </c>
      <c r="D436" s="277" t="s">
        <v>1606</v>
      </c>
      <c r="E436" s="293">
        <f t="shared" si="127"/>
        <v>434</v>
      </c>
      <c r="F436" s="267" t="s">
        <v>115</v>
      </c>
      <c r="G436" s="267"/>
      <c r="H436" s="316">
        <v>6</v>
      </c>
      <c r="I436" s="316"/>
      <c r="J436" s="308">
        <f t="shared" ref="J436" si="144">J435</f>
        <v>512</v>
      </c>
      <c r="K436" s="308" t="str">
        <f t="shared" si="141"/>
        <v>mm</v>
      </c>
      <c r="L436" s="367" t="str">
        <f>J436&amp;" "&amp;K436</f>
        <v>512 mm</v>
      </c>
      <c r="M436" s="319">
        <v>1</v>
      </c>
      <c r="N436" s="271" t="s">
        <v>81</v>
      </c>
      <c r="O436" s="297">
        <f t="shared" si="142"/>
        <v>0.51200000000000001</v>
      </c>
      <c r="P436" s="271" t="s">
        <v>139</v>
      </c>
      <c r="Q436" s="324">
        <f>VLOOKUP(H436,BM!$B$3:$Y$62,12,FALSE)</f>
        <v>0.9</v>
      </c>
      <c r="R436" s="271" t="s">
        <v>112</v>
      </c>
      <c r="S436" s="290">
        <f t="shared" si="129"/>
        <v>0.46080000000000004</v>
      </c>
      <c r="T436" s="275">
        <v>1</v>
      </c>
      <c r="U436" s="290">
        <f t="shared" si="130"/>
        <v>1.46</v>
      </c>
      <c r="V436" s="276" t="s">
        <v>48</v>
      </c>
    </row>
    <row r="437" spans="1:22" s="172" customFormat="1" ht="20.25" customHeight="1">
      <c r="A437" s="263" t="str">
        <f t="shared" si="126"/>
        <v/>
      </c>
      <c r="B437" s="263"/>
      <c r="C437" s="264">
        <f t="shared" si="117"/>
        <v>436</v>
      </c>
      <c r="D437" s="277" t="s">
        <v>1607</v>
      </c>
      <c r="E437" s="293">
        <f t="shared" si="127"/>
        <v>435</v>
      </c>
      <c r="F437" s="267" t="s">
        <v>61</v>
      </c>
      <c r="G437" s="267"/>
      <c r="H437" s="316">
        <v>6</v>
      </c>
      <c r="I437" s="316"/>
      <c r="J437" s="308">
        <f t="shared" ref="J437" si="145">J436</f>
        <v>512</v>
      </c>
      <c r="K437" s="308" t="str">
        <f t="shared" si="141"/>
        <v>mm</v>
      </c>
      <c r="L437" s="367" t="str">
        <f>J437&amp;" "&amp;K437</f>
        <v>512 mm</v>
      </c>
      <c r="M437" s="319">
        <v>1</v>
      </c>
      <c r="N437" s="271" t="s">
        <v>81</v>
      </c>
      <c r="O437" s="297">
        <f t="shared" si="142"/>
        <v>0.51200000000000001</v>
      </c>
      <c r="P437" s="271" t="s">
        <v>139</v>
      </c>
      <c r="Q437" s="324">
        <f>VLOOKUP(H437,BM!$B$3:$Y$62,20,FALSE)</f>
        <v>0.5</v>
      </c>
      <c r="R437" s="271" t="s">
        <v>112</v>
      </c>
      <c r="S437" s="290">
        <f t="shared" si="129"/>
        <v>0.25600000000000001</v>
      </c>
      <c r="T437" s="275">
        <v>1</v>
      </c>
      <c r="U437" s="290">
        <f t="shared" si="130"/>
        <v>1.26</v>
      </c>
      <c r="V437" s="276" t="s">
        <v>48</v>
      </c>
    </row>
    <row r="438" spans="1:22" s="172" customFormat="1" ht="20.25" customHeight="1">
      <c r="A438" s="263" t="str">
        <f t="shared" si="126"/>
        <v/>
      </c>
      <c r="B438" s="263"/>
      <c r="C438" s="264">
        <f t="shared" si="117"/>
        <v>437</v>
      </c>
      <c r="D438" s="277" t="s">
        <v>1608</v>
      </c>
      <c r="E438" s="293">
        <f t="shared" si="127"/>
        <v>436</v>
      </c>
      <c r="F438" s="267" t="s">
        <v>286</v>
      </c>
      <c r="G438" s="267"/>
      <c r="H438" s="316">
        <v>18</v>
      </c>
      <c r="I438" s="316"/>
      <c r="J438" s="308">
        <f t="shared" ref="J438" si="146">J437</f>
        <v>512</v>
      </c>
      <c r="K438" s="308" t="str">
        <f t="shared" si="141"/>
        <v>mm</v>
      </c>
      <c r="L438" s="367" t="str">
        <f>J438&amp;" "&amp;K438</f>
        <v>512 mm</v>
      </c>
      <c r="M438" s="319">
        <v>1</v>
      </c>
      <c r="N438" s="271" t="s">
        <v>81</v>
      </c>
      <c r="O438" s="272">
        <v>1</v>
      </c>
      <c r="P438" s="271" t="s">
        <v>81</v>
      </c>
      <c r="Q438" s="273">
        <v>3</v>
      </c>
      <c r="R438" s="271" t="s">
        <v>112</v>
      </c>
      <c r="S438" s="290">
        <f t="shared" si="129"/>
        <v>3</v>
      </c>
      <c r="T438" s="275">
        <v>1</v>
      </c>
      <c r="U438" s="290">
        <f t="shared" si="130"/>
        <v>4</v>
      </c>
      <c r="V438" s="276" t="s">
        <v>48</v>
      </c>
    </row>
    <row r="439" spans="1:22" s="172" customFormat="1" ht="20.25" customHeight="1">
      <c r="A439" s="263">
        <f t="shared" si="126"/>
        <v>438</v>
      </c>
      <c r="B439" s="263" t="s">
        <v>1263</v>
      </c>
      <c r="C439" s="264">
        <f t="shared" si="117"/>
        <v>438</v>
      </c>
      <c r="D439" s="265" t="s">
        <v>1609</v>
      </c>
      <c r="E439" s="279">
        <f>C432</f>
        <v>431</v>
      </c>
      <c r="F439" s="267"/>
      <c r="G439" s="267"/>
      <c r="H439" s="268"/>
      <c r="I439" s="268"/>
      <c r="J439" s="269"/>
      <c r="K439" s="269"/>
      <c r="L439" s="269"/>
      <c r="M439" s="319"/>
      <c r="N439" s="271"/>
      <c r="O439" s="280"/>
      <c r="P439" s="271"/>
      <c r="Q439" s="281"/>
      <c r="R439" s="271"/>
      <c r="S439" s="312"/>
      <c r="T439" s="282"/>
      <c r="U439" s="312"/>
      <c r="V439" s="276"/>
    </row>
    <row r="440" spans="1:22" s="172" customFormat="1" ht="20.25" customHeight="1">
      <c r="A440" s="263" t="str">
        <f t="shared" si="126"/>
        <v/>
      </c>
      <c r="B440" s="263"/>
      <c r="C440" s="264">
        <f t="shared" si="117"/>
        <v>439</v>
      </c>
      <c r="D440" s="277" t="s">
        <v>1610</v>
      </c>
      <c r="E440" s="293"/>
      <c r="F440" s="267" t="s">
        <v>312</v>
      </c>
      <c r="G440" s="267"/>
      <c r="H440" s="316">
        <v>18</v>
      </c>
      <c r="I440" s="316"/>
      <c r="J440" s="308">
        <f>J438</f>
        <v>512</v>
      </c>
      <c r="K440" s="308" t="str">
        <f>K438</f>
        <v>mm</v>
      </c>
      <c r="L440" s="367" t="str">
        <f>J440&amp;" "&amp;K440</f>
        <v>512 mm</v>
      </c>
      <c r="M440" s="319">
        <v>1</v>
      </c>
      <c r="N440" s="296" t="s">
        <v>81</v>
      </c>
      <c r="O440" s="272">
        <v>1</v>
      </c>
      <c r="P440" s="296" t="s">
        <v>81</v>
      </c>
      <c r="Q440" s="273">
        <v>1</v>
      </c>
      <c r="R440" s="271" t="s">
        <v>435</v>
      </c>
      <c r="S440" s="290">
        <f t="shared" si="129"/>
        <v>1</v>
      </c>
      <c r="T440" s="275"/>
      <c r="U440" s="290">
        <f t="shared" si="130"/>
        <v>1</v>
      </c>
      <c r="V440" s="276" t="s">
        <v>42</v>
      </c>
    </row>
    <row r="441" spans="1:22" s="172" customFormat="1" ht="20.25" customHeight="1">
      <c r="A441" s="263">
        <f t="shared" si="126"/>
        <v>440</v>
      </c>
      <c r="B441" s="263" t="s">
        <v>1263</v>
      </c>
      <c r="C441" s="264">
        <f t="shared" si="117"/>
        <v>440</v>
      </c>
      <c r="D441" s="265" t="s">
        <v>1611</v>
      </c>
      <c r="E441" s="279">
        <f>C439</f>
        <v>438</v>
      </c>
      <c r="F441" s="267"/>
      <c r="G441" s="267"/>
      <c r="H441" s="268"/>
      <c r="I441" s="268"/>
      <c r="J441" s="269"/>
      <c r="K441" s="269"/>
      <c r="L441" s="269"/>
      <c r="M441" s="319"/>
      <c r="N441" s="271"/>
      <c r="O441" s="280"/>
      <c r="P441" s="271"/>
      <c r="Q441" s="281"/>
      <c r="R441" s="271"/>
      <c r="S441" s="312"/>
      <c r="T441" s="282"/>
      <c r="U441" s="312"/>
      <c r="V441" s="276"/>
    </row>
    <row r="442" spans="1:22" s="172" customFormat="1" ht="20.25" customHeight="1">
      <c r="A442" s="263" t="str">
        <f t="shared" si="126"/>
        <v/>
      </c>
      <c r="B442" s="263"/>
      <c r="C442" s="264">
        <f t="shared" si="117"/>
        <v>441</v>
      </c>
      <c r="D442" s="277" t="s">
        <v>1612</v>
      </c>
      <c r="E442" s="293"/>
      <c r="F442" s="267" t="s">
        <v>348</v>
      </c>
      <c r="G442" s="267"/>
      <c r="H442" s="308">
        <f>H440</f>
        <v>18</v>
      </c>
      <c r="I442" s="308"/>
      <c r="J442" s="310">
        <v>625</v>
      </c>
      <c r="K442" s="294" t="s">
        <v>1833</v>
      </c>
      <c r="L442" s="367" t="str">
        <f>J442&amp;" "&amp;K442</f>
        <v>625 mm id</v>
      </c>
      <c r="M442" s="319">
        <v>1</v>
      </c>
      <c r="N442" s="271" t="s">
        <v>81</v>
      </c>
      <c r="O442" s="297">
        <f>LEFT(L442,SEARCH(" ",L442,1)-1)*M442*3.142*0.001*2</f>
        <v>3.9275000000000002</v>
      </c>
      <c r="P442" s="271" t="s">
        <v>139</v>
      </c>
      <c r="Q442" s="324">
        <f>VLOOKUP(H442,BM!$B$3:$Y$62,13,FALSE)</f>
        <v>0.45</v>
      </c>
      <c r="R442" s="271" t="s">
        <v>112</v>
      </c>
      <c r="S442" s="290">
        <f t="shared" si="129"/>
        <v>1.7673750000000001</v>
      </c>
      <c r="T442" s="275">
        <v>1</v>
      </c>
      <c r="U442" s="290">
        <f t="shared" si="130"/>
        <v>2.77</v>
      </c>
      <c r="V442" s="276" t="s">
        <v>48</v>
      </c>
    </row>
    <row r="443" spans="1:22" s="172" customFormat="1" ht="20.25" customHeight="1">
      <c r="A443" s="263" t="str">
        <f t="shared" si="126"/>
        <v/>
      </c>
      <c r="B443" s="263"/>
      <c r="C443" s="264">
        <f t="shared" si="117"/>
        <v>442</v>
      </c>
      <c r="D443" s="277" t="s">
        <v>1613</v>
      </c>
      <c r="E443" s="293">
        <f t="shared" si="127"/>
        <v>441</v>
      </c>
      <c r="F443" s="267" t="s">
        <v>111</v>
      </c>
      <c r="G443" s="267"/>
      <c r="H443" s="316">
        <v>18</v>
      </c>
      <c r="I443" s="316"/>
      <c r="J443" s="317">
        <f>J442</f>
        <v>625</v>
      </c>
      <c r="K443" s="317" t="str">
        <f>K442</f>
        <v>mm id</v>
      </c>
      <c r="L443" s="367" t="str">
        <f t="shared" ref="L443" si="147">J443&amp;" "&amp;K443</f>
        <v>625 mm id</v>
      </c>
      <c r="M443" s="319">
        <v>1</v>
      </c>
      <c r="N443" s="271" t="s">
        <v>81</v>
      </c>
      <c r="O443" s="297">
        <f>LEFT(L443,SEARCH(" ",L443,1)-1)*M443*3.142*0.001</f>
        <v>1.9637500000000001</v>
      </c>
      <c r="P443" s="271" t="s">
        <v>139</v>
      </c>
      <c r="Q443" s="324">
        <f>VLOOKUP(H443,BM!$B$3:$Y$62,16,FALSE)</f>
        <v>1</v>
      </c>
      <c r="R443" s="271" t="s">
        <v>112</v>
      </c>
      <c r="S443" s="290">
        <f t="shared" si="129"/>
        <v>1.9637500000000001</v>
      </c>
      <c r="T443" s="275">
        <v>1</v>
      </c>
      <c r="U443" s="290">
        <f t="shared" si="130"/>
        <v>2.96</v>
      </c>
      <c r="V443" s="276" t="s">
        <v>48</v>
      </c>
    </row>
    <row r="444" spans="1:22" s="172" customFormat="1" ht="20.25" customHeight="1">
      <c r="A444" s="263" t="str">
        <f t="shared" si="126"/>
        <v/>
      </c>
      <c r="B444" s="263"/>
      <c r="C444" s="264">
        <f t="shared" si="117"/>
        <v>443</v>
      </c>
      <c r="D444" s="277" t="s">
        <v>1614</v>
      </c>
      <c r="E444" s="293">
        <f t="shared" si="127"/>
        <v>442</v>
      </c>
      <c r="F444" s="267" t="s">
        <v>44</v>
      </c>
      <c r="G444" s="267"/>
      <c r="H444" s="316">
        <v>18</v>
      </c>
      <c r="I444" s="316"/>
      <c r="J444" s="317">
        <f>J443</f>
        <v>625</v>
      </c>
      <c r="K444" s="317" t="str">
        <f>K443</f>
        <v>mm id</v>
      </c>
      <c r="L444" s="367" t="str">
        <f t="shared" ref="L444" si="148">J444&amp;" "&amp;K444</f>
        <v>625 mm id</v>
      </c>
      <c r="M444" s="319">
        <v>1</v>
      </c>
      <c r="N444" s="271" t="s">
        <v>81</v>
      </c>
      <c r="O444" s="272">
        <v>1</v>
      </c>
      <c r="P444" s="271" t="s">
        <v>139</v>
      </c>
      <c r="Q444" s="273">
        <v>4</v>
      </c>
      <c r="R444" s="271" t="s">
        <v>112</v>
      </c>
      <c r="S444" s="290">
        <f t="shared" si="129"/>
        <v>4</v>
      </c>
      <c r="T444" s="275">
        <v>1</v>
      </c>
      <c r="U444" s="290">
        <f t="shared" si="130"/>
        <v>5</v>
      </c>
      <c r="V444" s="276" t="s">
        <v>48</v>
      </c>
    </row>
    <row r="445" spans="1:22" s="172" customFormat="1" ht="20.25" customHeight="1">
      <c r="A445" s="263">
        <f t="shared" si="126"/>
        <v>444</v>
      </c>
      <c r="B445" s="263" t="s">
        <v>1263</v>
      </c>
      <c r="C445" s="264">
        <f t="shared" si="117"/>
        <v>444</v>
      </c>
      <c r="D445" s="265" t="s">
        <v>1615</v>
      </c>
      <c r="E445" s="279">
        <f>C441</f>
        <v>440</v>
      </c>
      <c r="F445" s="267"/>
      <c r="G445" s="267"/>
      <c r="H445" s="268"/>
      <c r="I445" s="268"/>
      <c r="J445" s="269"/>
      <c r="K445" s="269"/>
      <c r="L445" s="269"/>
      <c r="M445" s="319"/>
      <c r="N445" s="271"/>
      <c r="O445" s="280"/>
      <c r="P445" s="271"/>
      <c r="Q445" s="281"/>
      <c r="R445" s="271"/>
      <c r="S445" s="312"/>
      <c r="T445" s="282"/>
      <c r="U445" s="312"/>
      <c r="V445" s="276"/>
    </row>
    <row r="446" spans="1:22" s="172" customFormat="1" ht="20.25" customHeight="1">
      <c r="A446" s="263" t="str">
        <f t="shared" si="126"/>
        <v/>
      </c>
      <c r="B446" s="263"/>
      <c r="C446" s="264">
        <f t="shared" si="117"/>
        <v>445</v>
      </c>
      <c r="D446" s="277" t="s">
        <v>1616</v>
      </c>
      <c r="E446" s="293"/>
      <c r="F446" s="267" t="s">
        <v>201</v>
      </c>
      <c r="G446" s="267"/>
      <c r="H446" s="316">
        <v>18</v>
      </c>
      <c r="I446" s="316"/>
      <c r="J446" s="317">
        <f>J444</f>
        <v>625</v>
      </c>
      <c r="K446" s="317" t="str">
        <f>K444</f>
        <v>mm id</v>
      </c>
      <c r="L446" s="367" t="str">
        <f t="shared" ref="L446" si="149">J446&amp;" "&amp;K446</f>
        <v>625 mm id</v>
      </c>
      <c r="M446" s="319">
        <v>1</v>
      </c>
      <c r="N446" s="271" t="s">
        <v>81</v>
      </c>
      <c r="O446" s="272">
        <v>1</v>
      </c>
      <c r="P446" s="296" t="s">
        <v>81</v>
      </c>
      <c r="Q446" s="273">
        <v>1</v>
      </c>
      <c r="R446" s="271" t="s">
        <v>112</v>
      </c>
      <c r="S446" s="290">
        <f t="shared" si="129"/>
        <v>1</v>
      </c>
      <c r="T446" s="275">
        <v>1</v>
      </c>
      <c r="U446" s="290">
        <f t="shared" si="130"/>
        <v>2</v>
      </c>
      <c r="V446" s="276" t="s">
        <v>48</v>
      </c>
    </row>
    <row r="447" spans="1:22" s="172" customFormat="1" ht="20.25" customHeight="1">
      <c r="A447" s="263" t="str">
        <f t="shared" si="126"/>
        <v/>
      </c>
      <c r="B447" s="263"/>
      <c r="C447" s="264">
        <f t="shared" si="117"/>
        <v>446</v>
      </c>
      <c r="D447" s="277" t="s">
        <v>1617</v>
      </c>
      <c r="E447" s="293">
        <f t="shared" si="127"/>
        <v>445</v>
      </c>
      <c r="F447" s="267" t="s">
        <v>115</v>
      </c>
      <c r="G447" s="267"/>
      <c r="H447" s="316">
        <v>12</v>
      </c>
      <c r="I447" s="316"/>
      <c r="J447" s="317">
        <f>J446</f>
        <v>625</v>
      </c>
      <c r="K447" s="317" t="str">
        <f>K446</f>
        <v>mm id</v>
      </c>
      <c r="L447" s="367" t="str">
        <f t="shared" ref="L447" si="150">J447&amp;" "&amp;K447</f>
        <v>625 mm id</v>
      </c>
      <c r="M447" s="319">
        <v>1</v>
      </c>
      <c r="N447" s="271" t="s">
        <v>81</v>
      </c>
      <c r="O447" s="297">
        <f t="shared" ref="O447:O455" si="151">LEFT(L447,SEARCH(" ",L447,1)-1)*M447*3.142*0.001</f>
        <v>1.9637500000000001</v>
      </c>
      <c r="P447" s="271" t="s">
        <v>249</v>
      </c>
      <c r="Q447" s="324">
        <f>VLOOKUP(H447,BM!$B$3:$Y$62,17,FALSE)</f>
        <v>2.5</v>
      </c>
      <c r="R447" s="271" t="s">
        <v>112</v>
      </c>
      <c r="S447" s="290">
        <f t="shared" si="129"/>
        <v>4.9093750000000007</v>
      </c>
      <c r="T447" s="275">
        <v>1</v>
      </c>
      <c r="U447" s="290">
        <f t="shared" si="130"/>
        <v>5.91</v>
      </c>
      <c r="V447" s="276" t="s">
        <v>48</v>
      </c>
    </row>
    <row r="448" spans="1:22" s="172" customFormat="1" ht="20.25" customHeight="1">
      <c r="A448" s="263" t="str">
        <f t="shared" si="126"/>
        <v/>
      </c>
      <c r="B448" s="263"/>
      <c r="C448" s="264">
        <f t="shared" si="117"/>
        <v>447</v>
      </c>
      <c r="D448" s="277" t="s">
        <v>1618</v>
      </c>
      <c r="E448" s="293">
        <f t="shared" si="127"/>
        <v>446</v>
      </c>
      <c r="F448" s="267" t="s">
        <v>61</v>
      </c>
      <c r="G448" s="267"/>
      <c r="H448" s="316">
        <v>18</v>
      </c>
      <c r="I448" s="316"/>
      <c r="J448" s="317">
        <f>J447</f>
        <v>625</v>
      </c>
      <c r="K448" s="317" t="str">
        <f>K447</f>
        <v>mm id</v>
      </c>
      <c r="L448" s="367" t="str">
        <f t="shared" ref="L448" si="152">J448&amp;" "&amp;K448</f>
        <v>625 mm id</v>
      </c>
      <c r="M448" s="319">
        <v>1</v>
      </c>
      <c r="N448" s="271" t="s">
        <v>81</v>
      </c>
      <c r="O448" s="297">
        <f t="shared" si="151"/>
        <v>1.9637500000000001</v>
      </c>
      <c r="P448" s="271" t="s">
        <v>249</v>
      </c>
      <c r="Q448" s="324">
        <f>VLOOKUP(H448,BM!$B$3:$Y$62,18,FALSE)</f>
        <v>1</v>
      </c>
      <c r="R448" s="271" t="s">
        <v>112</v>
      </c>
      <c r="S448" s="290">
        <f t="shared" si="129"/>
        <v>1.9637500000000001</v>
      </c>
      <c r="T448" s="275">
        <v>1</v>
      </c>
      <c r="U448" s="290">
        <f t="shared" si="130"/>
        <v>2.96</v>
      </c>
      <c r="V448" s="276" t="s">
        <v>48</v>
      </c>
    </row>
    <row r="449" spans="1:22" s="172" customFormat="1" ht="20.25" customHeight="1">
      <c r="A449" s="263" t="str">
        <f t="shared" si="126"/>
        <v/>
      </c>
      <c r="B449" s="263"/>
      <c r="C449" s="264">
        <f t="shared" si="117"/>
        <v>448</v>
      </c>
      <c r="D449" s="277" t="s">
        <v>1619</v>
      </c>
      <c r="E449" s="293">
        <f t="shared" si="127"/>
        <v>447</v>
      </c>
      <c r="F449" s="267" t="s">
        <v>115</v>
      </c>
      <c r="G449" s="267"/>
      <c r="H449" s="316">
        <v>8</v>
      </c>
      <c r="I449" s="316"/>
      <c r="J449" s="317">
        <f>J448</f>
        <v>625</v>
      </c>
      <c r="K449" s="317" t="str">
        <f>K448</f>
        <v>mm id</v>
      </c>
      <c r="L449" s="367" t="str">
        <f t="shared" ref="L449" si="153">J449&amp;" "&amp;K449</f>
        <v>625 mm id</v>
      </c>
      <c r="M449" s="319">
        <v>1</v>
      </c>
      <c r="N449" s="271" t="s">
        <v>81</v>
      </c>
      <c r="O449" s="297">
        <f t="shared" si="151"/>
        <v>1.9637500000000001</v>
      </c>
      <c r="P449" s="271" t="s">
        <v>249</v>
      </c>
      <c r="Q449" s="324">
        <f>VLOOKUP(H449,BM!$B$3:$Y$62,17,FALSE)</f>
        <v>1.36</v>
      </c>
      <c r="R449" s="271" t="s">
        <v>112</v>
      </c>
      <c r="S449" s="290">
        <f t="shared" si="129"/>
        <v>2.6707000000000005</v>
      </c>
      <c r="T449" s="275">
        <v>1</v>
      </c>
      <c r="U449" s="290">
        <f t="shared" si="130"/>
        <v>3.67</v>
      </c>
      <c r="V449" s="276" t="s">
        <v>48</v>
      </c>
    </row>
    <row r="450" spans="1:22" s="172" customFormat="1" ht="20.25" customHeight="1">
      <c r="A450" s="263" t="str">
        <f t="shared" si="126"/>
        <v/>
      </c>
      <c r="B450" s="263"/>
      <c r="C450" s="264">
        <f t="shared" si="117"/>
        <v>449</v>
      </c>
      <c r="D450" s="277" t="s">
        <v>1620</v>
      </c>
      <c r="E450" s="293">
        <f t="shared" si="127"/>
        <v>448</v>
      </c>
      <c r="F450" s="267" t="s">
        <v>61</v>
      </c>
      <c r="G450" s="267"/>
      <c r="H450" s="316">
        <v>18</v>
      </c>
      <c r="I450" s="316"/>
      <c r="J450" s="317">
        <f>J449</f>
        <v>625</v>
      </c>
      <c r="K450" s="317" t="str">
        <f>K449</f>
        <v>mm id</v>
      </c>
      <c r="L450" s="367" t="str">
        <f t="shared" ref="L450" si="154">J450&amp;" "&amp;K450</f>
        <v>625 mm id</v>
      </c>
      <c r="M450" s="319">
        <v>1</v>
      </c>
      <c r="N450" s="271" t="s">
        <v>81</v>
      </c>
      <c r="O450" s="297">
        <f t="shared" si="151"/>
        <v>1.9637500000000001</v>
      </c>
      <c r="P450" s="271" t="s">
        <v>249</v>
      </c>
      <c r="Q450" s="324">
        <f>VLOOKUP(H450,BM!$B$3:$Y$62,20,FALSE)</f>
        <v>0.5</v>
      </c>
      <c r="R450" s="271" t="s">
        <v>112</v>
      </c>
      <c r="S450" s="290">
        <f t="shared" si="129"/>
        <v>0.98187500000000005</v>
      </c>
      <c r="T450" s="275">
        <v>1</v>
      </c>
      <c r="U450" s="290">
        <f t="shared" si="130"/>
        <v>1.98</v>
      </c>
      <c r="V450" s="276" t="s">
        <v>48</v>
      </c>
    </row>
    <row r="451" spans="1:22" s="172" customFormat="1" ht="20.25" customHeight="1">
      <c r="A451" s="263">
        <f t="shared" si="126"/>
        <v>450</v>
      </c>
      <c r="B451" s="263" t="s">
        <v>1263</v>
      </c>
      <c r="C451" s="264">
        <f t="shared" si="117"/>
        <v>450</v>
      </c>
      <c r="D451" s="265" t="s">
        <v>1621</v>
      </c>
      <c r="E451" s="279">
        <f>C445</f>
        <v>444</v>
      </c>
      <c r="F451" s="267"/>
      <c r="G451" s="267"/>
      <c r="H451" s="268"/>
      <c r="I451" s="268"/>
      <c r="J451" s="269"/>
      <c r="K451" s="269"/>
      <c r="L451" s="269"/>
      <c r="M451" s="319"/>
      <c r="N451" s="271"/>
      <c r="O451" s="280"/>
      <c r="P451" s="271"/>
      <c r="Q451" s="281"/>
      <c r="R451" s="271"/>
      <c r="S451" s="312"/>
      <c r="T451" s="282"/>
      <c r="U451" s="312"/>
      <c r="V451" s="276"/>
    </row>
    <row r="452" spans="1:22" s="172" customFormat="1" ht="20.25" customHeight="1">
      <c r="A452" s="263" t="str">
        <f t="shared" si="126"/>
        <v/>
      </c>
      <c r="B452" s="263"/>
      <c r="C452" s="264">
        <f t="shared" ref="C452:C515" si="155">C451+1</f>
        <v>451</v>
      </c>
      <c r="D452" s="277" t="s">
        <v>1622</v>
      </c>
      <c r="E452" s="293"/>
      <c r="F452" s="267" t="s">
        <v>52</v>
      </c>
      <c r="G452" s="267"/>
      <c r="H452" s="317">
        <f>H446</f>
        <v>18</v>
      </c>
      <c r="I452" s="317"/>
      <c r="J452" s="317">
        <f>J450</f>
        <v>625</v>
      </c>
      <c r="K452" s="317" t="str">
        <f>K450</f>
        <v>mm id</v>
      </c>
      <c r="L452" s="367" t="str">
        <f t="shared" ref="L452" si="156">J452&amp;" "&amp;K452</f>
        <v>625 mm id</v>
      </c>
      <c r="M452" s="319">
        <v>1</v>
      </c>
      <c r="N452" s="271" t="s">
        <v>81</v>
      </c>
      <c r="O452" s="297">
        <f t="shared" si="151"/>
        <v>1.9637500000000001</v>
      </c>
      <c r="P452" s="271" t="s">
        <v>139</v>
      </c>
      <c r="Q452" s="324">
        <f>VLOOKUP(H452,BM!$B$3:$Y$62,14,FALSE)</f>
        <v>0.5</v>
      </c>
      <c r="R452" s="271" t="s">
        <v>112</v>
      </c>
      <c r="S452" s="290">
        <f t="shared" si="129"/>
        <v>0.98187500000000005</v>
      </c>
      <c r="T452" s="275">
        <v>1</v>
      </c>
      <c r="U452" s="290">
        <f t="shared" si="130"/>
        <v>1.98</v>
      </c>
      <c r="V452" s="276" t="s">
        <v>48</v>
      </c>
    </row>
    <row r="453" spans="1:22" s="172" customFormat="1" ht="20.25" customHeight="1">
      <c r="A453" s="263" t="str">
        <f t="shared" si="126"/>
        <v/>
      </c>
      <c r="B453" s="263"/>
      <c r="C453" s="264">
        <f t="shared" si="155"/>
        <v>452</v>
      </c>
      <c r="D453" s="277" t="s">
        <v>1612</v>
      </c>
      <c r="E453" s="293">
        <f t="shared" si="127"/>
        <v>451</v>
      </c>
      <c r="F453" s="267" t="s">
        <v>44</v>
      </c>
      <c r="G453" s="267"/>
      <c r="H453" s="317">
        <f>H447</f>
        <v>12</v>
      </c>
      <c r="I453" s="317"/>
      <c r="J453" s="317">
        <f>J452</f>
        <v>625</v>
      </c>
      <c r="K453" s="317" t="str">
        <f>K452</f>
        <v>mm id</v>
      </c>
      <c r="L453" s="367" t="str">
        <f t="shared" ref="L453" si="157">J453&amp;" "&amp;K453</f>
        <v>625 mm id</v>
      </c>
      <c r="M453" s="319">
        <v>1</v>
      </c>
      <c r="N453" s="271" t="s">
        <v>81</v>
      </c>
      <c r="O453" s="297">
        <f t="shared" si="151"/>
        <v>1.9637500000000001</v>
      </c>
      <c r="P453" s="271" t="s">
        <v>139</v>
      </c>
      <c r="Q453" s="324">
        <f>VLOOKUP(H453,BM!$B$3:$Y$62,15,FALSE)</f>
        <v>1</v>
      </c>
      <c r="R453" s="271" t="s">
        <v>112</v>
      </c>
      <c r="S453" s="290">
        <f t="shared" si="129"/>
        <v>1.9637500000000001</v>
      </c>
      <c r="T453" s="275">
        <v>1</v>
      </c>
      <c r="U453" s="290">
        <f t="shared" si="130"/>
        <v>2.96</v>
      </c>
      <c r="V453" s="276" t="s">
        <v>48</v>
      </c>
    </row>
    <row r="454" spans="1:22" s="172" customFormat="1" ht="20.25" customHeight="1">
      <c r="A454" s="263" t="str">
        <f t="shared" si="126"/>
        <v/>
      </c>
      <c r="B454" s="263"/>
      <c r="C454" s="264">
        <f t="shared" si="155"/>
        <v>453</v>
      </c>
      <c r="D454" s="277" t="s">
        <v>1623</v>
      </c>
      <c r="E454" s="293">
        <f t="shared" si="127"/>
        <v>452</v>
      </c>
      <c r="F454" s="267" t="s">
        <v>111</v>
      </c>
      <c r="G454" s="267"/>
      <c r="H454" s="317">
        <f>H449</f>
        <v>8</v>
      </c>
      <c r="I454" s="317"/>
      <c r="J454" s="317">
        <f>J453</f>
        <v>625</v>
      </c>
      <c r="K454" s="317" t="str">
        <f>K453</f>
        <v>mm id</v>
      </c>
      <c r="L454" s="367" t="str">
        <f t="shared" ref="L454" si="158">J454&amp;" "&amp;K454</f>
        <v>625 mm id</v>
      </c>
      <c r="M454" s="319">
        <v>1</v>
      </c>
      <c r="N454" s="271" t="s">
        <v>81</v>
      </c>
      <c r="O454" s="297">
        <f t="shared" si="151"/>
        <v>1.9637500000000001</v>
      </c>
      <c r="P454" s="271" t="s">
        <v>139</v>
      </c>
      <c r="Q454" s="273">
        <v>4</v>
      </c>
      <c r="R454" s="271" t="s">
        <v>112</v>
      </c>
      <c r="S454" s="290">
        <f t="shared" si="129"/>
        <v>7.8550000000000004</v>
      </c>
      <c r="T454" s="275">
        <v>1</v>
      </c>
      <c r="U454" s="290">
        <f t="shared" si="130"/>
        <v>8.86</v>
      </c>
      <c r="V454" s="276" t="s">
        <v>48</v>
      </c>
    </row>
    <row r="455" spans="1:22" s="172" customFormat="1" ht="20.25" customHeight="1">
      <c r="A455" s="263" t="str">
        <f t="shared" si="126"/>
        <v/>
      </c>
      <c r="B455" s="263"/>
      <c r="C455" s="264">
        <f t="shared" si="155"/>
        <v>454</v>
      </c>
      <c r="D455" s="277" t="s">
        <v>1614</v>
      </c>
      <c r="E455" s="293">
        <f t="shared" si="127"/>
        <v>453</v>
      </c>
      <c r="F455" s="267" t="s">
        <v>63</v>
      </c>
      <c r="G455" s="267"/>
      <c r="H455" s="316">
        <v>18</v>
      </c>
      <c r="I455" s="316"/>
      <c r="J455" s="317">
        <f>J454</f>
        <v>625</v>
      </c>
      <c r="K455" s="317" t="str">
        <f>K454</f>
        <v>mm id</v>
      </c>
      <c r="L455" s="367" t="str">
        <f t="shared" ref="L455" si="159">J455&amp;" "&amp;K455</f>
        <v>625 mm id</v>
      </c>
      <c r="M455" s="319">
        <v>1</v>
      </c>
      <c r="N455" s="271" t="s">
        <v>81</v>
      </c>
      <c r="O455" s="297">
        <f t="shared" si="151"/>
        <v>1.9637500000000001</v>
      </c>
      <c r="P455" s="271" t="s">
        <v>139</v>
      </c>
      <c r="Q455" s="273">
        <v>0.5</v>
      </c>
      <c r="R455" s="271" t="s">
        <v>112</v>
      </c>
      <c r="S455" s="290">
        <f t="shared" si="129"/>
        <v>0.98187500000000005</v>
      </c>
      <c r="T455" s="275">
        <v>1</v>
      </c>
      <c r="U455" s="290">
        <f t="shared" si="130"/>
        <v>1.98</v>
      </c>
      <c r="V455" s="276" t="s">
        <v>48</v>
      </c>
    </row>
    <row r="456" spans="1:22" s="172" customFormat="1" ht="20.25" customHeight="1">
      <c r="A456" s="263">
        <f t="shared" si="126"/>
        <v>455</v>
      </c>
      <c r="B456" s="263" t="s">
        <v>1263</v>
      </c>
      <c r="C456" s="264">
        <f t="shared" si="155"/>
        <v>455</v>
      </c>
      <c r="D456" s="265" t="s">
        <v>1624</v>
      </c>
      <c r="E456" s="279">
        <f>C451</f>
        <v>450</v>
      </c>
      <c r="F456" s="278"/>
      <c r="G456" s="278"/>
      <c r="H456" s="268"/>
      <c r="I456" s="268"/>
      <c r="J456" s="269"/>
      <c r="K456" s="269"/>
      <c r="L456" s="269"/>
      <c r="M456" s="319"/>
      <c r="N456" s="271"/>
      <c r="O456" s="280"/>
      <c r="P456" s="271"/>
      <c r="Q456" s="281"/>
      <c r="R456" s="271"/>
      <c r="S456" s="312"/>
      <c r="T456" s="282"/>
      <c r="U456" s="312"/>
      <c r="V456" s="276"/>
    </row>
    <row r="457" spans="1:22" s="172" customFormat="1" ht="20.25" customHeight="1">
      <c r="A457" s="263" t="str">
        <f t="shared" si="126"/>
        <v/>
      </c>
      <c r="B457" s="263"/>
      <c r="C457" s="264">
        <f t="shared" si="155"/>
        <v>456</v>
      </c>
      <c r="D457" s="277" t="s">
        <v>1625</v>
      </c>
      <c r="E457" s="293"/>
      <c r="F457" s="267" t="s">
        <v>201</v>
      </c>
      <c r="G457" s="267"/>
      <c r="H457" s="316">
        <v>12</v>
      </c>
      <c r="I457" s="316"/>
      <c r="J457" s="317">
        <f>J455</f>
        <v>625</v>
      </c>
      <c r="K457" s="317" t="str">
        <f>K455</f>
        <v>mm id</v>
      </c>
      <c r="L457" s="367" t="str">
        <f t="shared" ref="L457" si="160">J457&amp;" "&amp;K457</f>
        <v>625 mm id</v>
      </c>
      <c r="M457" s="319">
        <v>1</v>
      </c>
      <c r="N457" s="271" t="s">
        <v>81</v>
      </c>
      <c r="O457" s="272">
        <v>1</v>
      </c>
      <c r="P457" s="271" t="s">
        <v>249</v>
      </c>
      <c r="Q457" s="273">
        <v>1</v>
      </c>
      <c r="R457" s="271" t="s">
        <v>112</v>
      </c>
      <c r="S457" s="290">
        <f t="shared" si="129"/>
        <v>1</v>
      </c>
      <c r="T457" s="275">
        <v>1</v>
      </c>
      <c r="U457" s="290">
        <f t="shared" si="130"/>
        <v>2</v>
      </c>
      <c r="V457" s="276" t="s">
        <v>48</v>
      </c>
    </row>
    <row r="458" spans="1:22" s="172" customFormat="1" ht="20.25" customHeight="1">
      <c r="A458" s="263" t="str">
        <f t="shared" si="126"/>
        <v/>
      </c>
      <c r="B458" s="263"/>
      <c r="C458" s="264">
        <f t="shared" si="155"/>
        <v>457</v>
      </c>
      <c r="D458" s="277" t="s">
        <v>1626</v>
      </c>
      <c r="E458" s="293">
        <f t="shared" si="127"/>
        <v>456</v>
      </c>
      <c r="F458" s="267" t="s">
        <v>115</v>
      </c>
      <c r="G458" s="267"/>
      <c r="H458" s="316">
        <v>12</v>
      </c>
      <c r="I458" s="316"/>
      <c r="J458" s="317">
        <f>J457</f>
        <v>625</v>
      </c>
      <c r="K458" s="317" t="str">
        <f>K457</f>
        <v>mm id</v>
      </c>
      <c r="L458" s="367" t="str">
        <f t="shared" ref="L458" si="161">J458&amp;" "&amp;K458</f>
        <v>625 mm id</v>
      </c>
      <c r="M458" s="319">
        <v>1</v>
      </c>
      <c r="N458" s="271" t="s">
        <v>81</v>
      </c>
      <c r="O458" s="297">
        <f t="shared" ref="O458:O461" si="162">LEFT(L458,SEARCH(" ",L458,1)-1)*M458*3.142*0.001</f>
        <v>1.9637500000000001</v>
      </c>
      <c r="P458" s="271" t="s">
        <v>249</v>
      </c>
      <c r="Q458" s="324">
        <f>VLOOKUP(H458,BM!$B$3:$Y$62,17,FALSE)</f>
        <v>2.5</v>
      </c>
      <c r="R458" s="271" t="s">
        <v>112</v>
      </c>
      <c r="S458" s="290">
        <f t="shared" si="129"/>
        <v>4.9093750000000007</v>
      </c>
      <c r="T458" s="275">
        <v>1</v>
      </c>
      <c r="U458" s="290">
        <f t="shared" si="130"/>
        <v>5.91</v>
      </c>
      <c r="V458" s="276" t="s">
        <v>48</v>
      </c>
    </row>
    <row r="459" spans="1:22" s="172" customFormat="1" ht="20.25" customHeight="1">
      <c r="A459" s="263" t="str">
        <f t="shared" si="126"/>
        <v/>
      </c>
      <c r="B459" s="263"/>
      <c r="C459" s="264">
        <f t="shared" si="155"/>
        <v>458</v>
      </c>
      <c r="D459" s="277" t="s">
        <v>1627</v>
      </c>
      <c r="E459" s="293">
        <f t="shared" si="127"/>
        <v>457</v>
      </c>
      <c r="F459" s="267" t="s">
        <v>61</v>
      </c>
      <c r="G459" s="267"/>
      <c r="H459" s="316">
        <v>18</v>
      </c>
      <c r="I459" s="316"/>
      <c r="J459" s="317">
        <f>J458</f>
        <v>625</v>
      </c>
      <c r="K459" s="317" t="str">
        <f>K458</f>
        <v>mm id</v>
      </c>
      <c r="L459" s="367" t="str">
        <f t="shared" ref="L459" si="163">J459&amp;" "&amp;K459</f>
        <v>625 mm id</v>
      </c>
      <c r="M459" s="319">
        <v>1</v>
      </c>
      <c r="N459" s="271" t="s">
        <v>81</v>
      </c>
      <c r="O459" s="297">
        <f t="shared" si="162"/>
        <v>1.9637500000000001</v>
      </c>
      <c r="P459" s="271" t="s">
        <v>249</v>
      </c>
      <c r="Q459" s="324">
        <f>VLOOKUP(H459,BM!$B$3:$Y$62,18,FALSE)</f>
        <v>1</v>
      </c>
      <c r="R459" s="271" t="s">
        <v>112</v>
      </c>
      <c r="S459" s="290">
        <f t="shared" si="129"/>
        <v>1.9637500000000001</v>
      </c>
      <c r="T459" s="275">
        <v>1</v>
      </c>
      <c r="U459" s="290">
        <f t="shared" si="130"/>
        <v>2.96</v>
      </c>
      <c r="V459" s="276" t="s">
        <v>48</v>
      </c>
    </row>
    <row r="460" spans="1:22" s="172" customFormat="1" ht="20.25" customHeight="1">
      <c r="A460" s="263" t="str">
        <f t="shared" si="126"/>
        <v/>
      </c>
      <c r="B460" s="263"/>
      <c r="C460" s="264">
        <f t="shared" si="155"/>
        <v>459</v>
      </c>
      <c r="D460" s="277" t="s">
        <v>1628</v>
      </c>
      <c r="E460" s="293">
        <f t="shared" si="127"/>
        <v>458</v>
      </c>
      <c r="F460" s="267" t="s">
        <v>115</v>
      </c>
      <c r="G460" s="267"/>
      <c r="H460" s="316">
        <v>6</v>
      </c>
      <c r="I460" s="316"/>
      <c r="J460" s="317">
        <f>J459</f>
        <v>625</v>
      </c>
      <c r="K460" s="317" t="str">
        <f>K459</f>
        <v>mm id</v>
      </c>
      <c r="L460" s="367" t="str">
        <f t="shared" ref="L460:L461" si="164">J460&amp;" "&amp;K460</f>
        <v>625 mm id</v>
      </c>
      <c r="M460" s="319">
        <v>1</v>
      </c>
      <c r="N460" s="271" t="s">
        <v>81</v>
      </c>
      <c r="O460" s="297">
        <f t="shared" si="162"/>
        <v>1.9637500000000001</v>
      </c>
      <c r="P460" s="271" t="s">
        <v>249</v>
      </c>
      <c r="Q460" s="324">
        <f>VLOOKUP(H460,BM!$B$3:$Y$62,17,FALSE)</f>
        <v>0.9</v>
      </c>
      <c r="R460" s="271" t="s">
        <v>112</v>
      </c>
      <c r="S460" s="290">
        <f t="shared" si="129"/>
        <v>1.7673750000000001</v>
      </c>
      <c r="T460" s="275">
        <v>1</v>
      </c>
      <c r="U460" s="290">
        <f t="shared" si="130"/>
        <v>2.77</v>
      </c>
      <c r="V460" s="276" t="s">
        <v>48</v>
      </c>
    </row>
    <row r="461" spans="1:22" s="172" customFormat="1" ht="20.25" customHeight="1">
      <c r="A461" s="263" t="str">
        <f t="shared" si="126"/>
        <v/>
      </c>
      <c r="B461" s="263"/>
      <c r="C461" s="264">
        <f t="shared" si="155"/>
        <v>460</v>
      </c>
      <c r="D461" s="277" t="s">
        <v>1629</v>
      </c>
      <c r="E461" s="293">
        <f t="shared" si="127"/>
        <v>459</v>
      </c>
      <c r="F461" s="267" t="s">
        <v>61</v>
      </c>
      <c r="G461" s="267"/>
      <c r="H461" s="316">
        <v>18</v>
      </c>
      <c r="I461" s="316"/>
      <c r="J461" s="317">
        <f>J460</f>
        <v>625</v>
      </c>
      <c r="K461" s="317" t="str">
        <f>K460</f>
        <v>mm id</v>
      </c>
      <c r="L461" s="367" t="str">
        <f t="shared" si="164"/>
        <v>625 mm id</v>
      </c>
      <c r="M461" s="319">
        <v>1</v>
      </c>
      <c r="N461" s="271" t="s">
        <v>81</v>
      </c>
      <c r="O461" s="297">
        <f t="shared" si="162"/>
        <v>1.9637500000000001</v>
      </c>
      <c r="P461" s="271" t="s">
        <v>249</v>
      </c>
      <c r="Q461" s="324">
        <f>VLOOKUP(H461,BM!$B$3:$Y$62,20,FALSE)</f>
        <v>0.5</v>
      </c>
      <c r="R461" s="271" t="s">
        <v>112</v>
      </c>
      <c r="S461" s="290">
        <f t="shared" si="129"/>
        <v>0.98187500000000005</v>
      </c>
      <c r="T461" s="275">
        <v>1</v>
      </c>
      <c r="U461" s="290">
        <f t="shared" si="130"/>
        <v>1.98</v>
      </c>
      <c r="V461" s="276" t="s">
        <v>48</v>
      </c>
    </row>
    <row r="462" spans="1:22" s="172" customFormat="1" ht="20.25" customHeight="1">
      <c r="A462" s="263">
        <f t="shared" si="126"/>
        <v>461</v>
      </c>
      <c r="B462" s="263" t="s">
        <v>1263</v>
      </c>
      <c r="C462" s="264">
        <f t="shared" si="155"/>
        <v>461</v>
      </c>
      <c r="D462" s="265" t="s">
        <v>1630</v>
      </c>
      <c r="E462" s="279">
        <f>A456</f>
        <v>455</v>
      </c>
      <c r="F462" s="267"/>
      <c r="G462" s="267"/>
      <c r="H462" s="268"/>
      <c r="I462" s="268"/>
      <c r="J462" s="269"/>
      <c r="K462" s="269"/>
      <c r="L462" s="269"/>
      <c r="M462" s="319"/>
      <c r="N462" s="271"/>
      <c r="O462" s="280"/>
      <c r="P462" s="271"/>
      <c r="Q462" s="281"/>
      <c r="R462" s="271"/>
      <c r="S462" s="312"/>
      <c r="T462" s="282"/>
      <c r="U462" s="312"/>
      <c r="V462" s="276"/>
    </row>
    <row r="463" spans="1:22" s="172" customFormat="1" ht="20.25" customHeight="1">
      <c r="A463" s="263" t="str">
        <f t="shared" si="126"/>
        <v/>
      </c>
      <c r="B463" s="263"/>
      <c r="C463" s="264">
        <f t="shared" si="155"/>
        <v>462</v>
      </c>
      <c r="D463" s="277" t="s">
        <v>1631</v>
      </c>
      <c r="E463" s="293"/>
      <c r="F463" s="267" t="s">
        <v>312</v>
      </c>
      <c r="G463" s="267"/>
      <c r="H463" s="316">
        <v>18</v>
      </c>
      <c r="I463" s="316"/>
      <c r="J463" s="317">
        <f>J461</f>
        <v>625</v>
      </c>
      <c r="K463" s="317" t="str">
        <f>K461</f>
        <v>mm id</v>
      </c>
      <c r="L463" s="367" t="str">
        <f t="shared" ref="L463" si="165">J463&amp;" "&amp;K463</f>
        <v>625 mm id</v>
      </c>
      <c r="M463" s="319">
        <v>1</v>
      </c>
      <c r="N463" s="296" t="s">
        <v>81</v>
      </c>
      <c r="O463" s="272">
        <v>1</v>
      </c>
      <c r="P463" s="271" t="s">
        <v>457</v>
      </c>
      <c r="Q463" s="273">
        <v>1</v>
      </c>
      <c r="R463" s="271" t="s">
        <v>41</v>
      </c>
      <c r="S463" s="290">
        <f t="shared" si="129"/>
        <v>1</v>
      </c>
      <c r="T463" s="275"/>
      <c r="U463" s="290">
        <f t="shared" si="130"/>
        <v>1</v>
      </c>
      <c r="V463" s="276" t="s">
        <v>42</v>
      </c>
    </row>
    <row r="464" spans="1:22" s="172" customFormat="1" ht="20.25" customHeight="1">
      <c r="A464" s="263">
        <f t="shared" si="126"/>
        <v>463</v>
      </c>
      <c r="B464" s="263" t="s">
        <v>1263</v>
      </c>
      <c r="C464" s="264">
        <f t="shared" si="155"/>
        <v>463</v>
      </c>
      <c r="D464" s="265" t="s">
        <v>1632</v>
      </c>
      <c r="E464" s="279">
        <f>A462</f>
        <v>461</v>
      </c>
      <c r="F464" s="267"/>
      <c r="G464" s="267"/>
      <c r="H464" s="268"/>
      <c r="I464" s="268"/>
      <c r="J464" s="269"/>
      <c r="K464" s="269"/>
      <c r="L464" s="269"/>
      <c r="M464" s="319"/>
      <c r="N464" s="271"/>
      <c r="O464" s="280"/>
      <c r="P464" s="271"/>
      <c r="Q464" s="281"/>
      <c r="R464" s="271"/>
      <c r="S464" s="312"/>
      <c r="T464" s="282"/>
      <c r="U464" s="312"/>
      <c r="V464" s="276"/>
    </row>
    <row r="465" spans="1:22" s="172" customFormat="1" ht="20.25" customHeight="1">
      <c r="A465" s="263" t="str">
        <f t="shared" si="126"/>
        <v/>
      </c>
      <c r="B465" s="263"/>
      <c r="C465" s="264">
        <f t="shared" si="155"/>
        <v>464</v>
      </c>
      <c r="D465" s="277" t="s">
        <v>1633</v>
      </c>
      <c r="E465" s="293"/>
      <c r="F465" s="267" t="s">
        <v>44</v>
      </c>
      <c r="G465" s="267"/>
      <c r="H465" s="316">
        <v>18</v>
      </c>
      <c r="I465" s="316"/>
      <c r="J465" s="317">
        <f>J463</f>
        <v>625</v>
      </c>
      <c r="K465" s="317" t="str">
        <f>K463</f>
        <v>mm id</v>
      </c>
      <c r="L465" s="367" t="str">
        <f t="shared" ref="L465" si="166">J465&amp;" "&amp;K465</f>
        <v>625 mm id</v>
      </c>
      <c r="M465" s="319">
        <v>1</v>
      </c>
      <c r="N465" s="271" t="s">
        <v>81</v>
      </c>
      <c r="O465" s="272">
        <v>1</v>
      </c>
      <c r="P465" s="271" t="s">
        <v>81</v>
      </c>
      <c r="Q465" s="273">
        <v>4</v>
      </c>
      <c r="R465" s="271" t="s">
        <v>112</v>
      </c>
      <c r="S465" s="290">
        <f t="shared" si="129"/>
        <v>4</v>
      </c>
      <c r="T465" s="275">
        <v>1</v>
      </c>
      <c r="U465" s="290">
        <f t="shared" si="130"/>
        <v>5</v>
      </c>
      <c r="V465" s="276" t="s">
        <v>48</v>
      </c>
    </row>
    <row r="466" spans="1:22" s="172" customFormat="1" ht="20.25" customHeight="1">
      <c r="A466" s="263" t="str">
        <f t="shared" si="126"/>
        <v/>
      </c>
      <c r="B466" s="263"/>
      <c r="C466" s="264">
        <f t="shared" si="155"/>
        <v>465</v>
      </c>
      <c r="D466" s="277" t="s">
        <v>1634</v>
      </c>
      <c r="E466" s="293">
        <f t="shared" si="127"/>
        <v>464</v>
      </c>
      <c r="F466" s="267" t="s">
        <v>44</v>
      </c>
      <c r="G466" s="267"/>
      <c r="H466" s="316">
        <v>18</v>
      </c>
      <c r="I466" s="316"/>
      <c r="J466" s="317">
        <f>J465</f>
        <v>625</v>
      </c>
      <c r="K466" s="317" t="str">
        <f>K465</f>
        <v>mm id</v>
      </c>
      <c r="L466" s="367" t="str">
        <f t="shared" ref="L466" si="167">J466&amp;" "&amp;K466</f>
        <v>625 mm id</v>
      </c>
      <c r="M466" s="319">
        <v>1</v>
      </c>
      <c r="N466" s="271" t="s">
        <v>81</v>
      </c>
      <c r="O466" s="272">
        <v>1</v>
      </c>
      <c r="P466" s="271" t="s">
        <v>81</v>
      </c>
      <c r="Q466" s="273">
        <v>4</v>
      </c>
      <c r="R466" s="271" t="s">
        <v>112</v>
      </c>
      <c r="S466" s="290">
        <f t="shared" si="129"/>
        <v>4</v>
      </c>
      <c r="T466" s="275">
        <v>1</v>
      </c>
      <c r="U466" s="290">
        <f t="shared" si="130"/>
        <v>5</v>
      </c>
      <c r="V466" s="276" t="s">
        <v>48</v>
      </c>
    </row>
    <row r="467" spans="1:22" s="172" customFormat="1" ht="20.25" customHeight="1">
      <c r="A467" s="263">
        <f t="shared" si="126"/>
        <v>466</v>
      </c>
      <c r="B467" s="263" t="s">
        <v>1263</v>
      </c>
      <c r="C467" s="264">
        <f t="shared" si="155"/>
        <v>466</v>
      </c>
      <c r="D467" s="265" t="s">
        <v>1635</v>
      </c>
      <c r="E467" s="279">
        <f>A464</f>
        <v>463</v>
      </c>
      <c r="F467" s="267"/>
      <c r="G467" s="267"/>
      <c r="H467" s="268"/>
      <c r="I467" s="268"/>
      <c r="J467" s="269"/>
      <c r="K467" s="269"/>
      <c r="L467" s="269"/>
      <c r="M467" s="319"/>
      <c r="N467" s="271"/>
      <c r="O467" s="280"/>
      <c r="P467" s="271"/>
      <c r="Q467" s="281"/>
      <c r="R467" s="271"/>
      <c r="S467" s="312"/>
      <c r="T467" s="282"/>
      <c r="U467" s="312"/>
      <c r="V467" s="276"/>
    </row>
    <row r="468" spans="1:22" s="172" customFormat="1" ht="20.25" customHeight="1">
      <c r="A468" s="263" t="str">
        <f t="shared" si="126"/>
        <v/>
      </c>
      <c r="B468" s="263"/>
      <c r="C468" s="264">
        <f t="shared" si="155"/>
        <v>467</v>
      </c>
      <c r="D468" s="277" t="s">
        <v>1636</v>
      </c>
      <c r="E468" s="293"/>
      <c r="F468" s="267" t="s">
        <v>52</v>
      </c>
      <c r="G468" s="267"/>
      <c r="H468" s="268"/>
      <c r="I468" s="268"/>
      <c r="J468" s="322">
        <v>160</v>
      </c>
      <c r="K468" s="322" t="s">
        <v>1090</v>
      </c>
      <c r="L468" s="367" t="str">
        <f t="shared" ref="L468:L469" si="168">J468&amp;" "&amp;K468</f>
        <v>160 NB</v>
      </c>
      <c r="M468" s="319">
        <v>1</v>
      </c>
      <c r="N468" s="296" t="s">
        <v>81</v>
      </c>
      <c r="O468" s="272">
        <v>1</v>
      </c>
      <c r="P468" s="271"/>
      <c r="Q468" s="324" t="e">
        <f>VLOOKUP(L468,BM!$B$3:$Y$62,2,FALSE)</f>
        <v>#N/A</v>
      </c>
      <c r="R468" s="271" t="s">
        <v>112</v>
      </c>
      <c r="S468" s="290" t="e">
        <f t="shared" si="129"/>
        <v>#N/A</v>
      </c>
      <c r="T468" s="275">
        <v>1</v>
      </c>
      <c r="U468" s="290" t="e">
        <f t="shared" si="130"/>
        <v>#N/A</v>
      </c>
      <c r="V468" s="276" t="s">
        <v>48</v>
      </c>
    </row>
    <row r="469" spans="1:22" s="172" customFormat="1" ht="20.25" customHeight="1">
      <c r="A469" s="263" t="str">
        <f t="shared" si="126"/>
        <v/>
      </c>
      <c r="B469" s="263"/>
      <c r="C469" s="264">
        <f t="shared" si="155"/>
        <v>468</v>
      </c>
      <c r="D469" s="277" t="s">
        <v>1637</v>
      </c>
      <c r="E469" s="293">
        <f t="shared" si="127"/>
        <v>467</v>
      </c>
      <c r="F469" s="267" t="s">
        <v>52</v>
      </c>
      <c r="G469" s="267"/>
      <c r="H469" s="268"/>
      <c r="I469" s="268"/>
      <c r="J469" s="322">
        <v>400</v>
      </c>
      <c r="K469" s="322" t="s">
        <v>1090</v>
      </c>
      <c r="L469" s="367" t="str">
        <f t="shared" si="168"/>
        <v>400 NB</v>
      </c>
      <c r="M469" s="319">
        <v>1</v>
      </c>
      <c r="N469" s="296" t="s">
        <v>81</v>
      </c>
      <c r="O469" s="272">
        <v>1</v>
      </c>
      <c r="P469" s="271"/>
      <c r="Q469" s="324" t="e">
        <f>VLOOKUP(L469,BM!$B$3:$Y$62,2,FALSE)</f>
        <v>#N/A</v>
      </c>
      <c r="R469" s="271" t="s">
        <v>112</v>
      </c>
      <c r="S469" s="290" t="e">
        <f t="shared" si="129"/>
        <v>#N/A</v>
      </c>
      <c r="T469" s="275">
        <v>1</v>
      </c>
      <c r="U469" s="290" t="e">
        <f t="shared" si="130"/>
        <v>#N/A</v>
      </c>
      <c r="V469" s="276" t="s">
        <v>48</v>
      </c>
    </row>
    <row r="470" spans="1:22" s="172" customFormat="1" ht="20.25" customHeight="1">
      <c r="A470" s="263">
        <f t="shared" si="126"/>
        <v>469</v>
      </c>
      <c r="B470" s="263" t="s">
        <v>1263</v>
      </c>
      <c r="C470" s="264">
        <f t="shared" si="155"/>
        <v>469</v>
      </c>
      <c r="D470" s="265" t="s">
        <v>1638</v>
      </c>
      <c r="E470" s="279">
        <f>A467</f>
        <v>466</v>
      </c>
      <c r="F470" s="267"/>
      <c r="G470" s="267"/>
      <c r="H470" s="268"/>
      <c r="I470" s="268"/>
      <c r="J470" s="269"/>
      <c r="K470" s="269"/>
      <c r="L470" s="269"/>
      <c r="M470" s="319"/>
      <c r="N470" s="271"/>
      <c r="O470" s="280"/>
      <c r="P470" s="271"/>
      <c r="Q470" s="281"/>
      <c r="R470" s="271"/>
      <c r="S470" s="312"/>
      <c r="T470" s="282"/>
      <c r="U470" s="312"/>
      <c r="V470" s="276"/>
    </row>
    <row r="471" spans="1:22" s="172" customFormat="1" ht="20.25" customHeight="1">
      <c r="A471" s="263" t="str">
        <f t="shared" si="126"/>
        <v/>
      </c>
      <c r="B471" s="263"/>
      <c r="C471" s="264">
        <f t="shared" si="155"/>
        <v>470</v>
      </c>
      <c r="D471" s="277" t="s">
        <v>1639</v>
      </c>
      <c r="E471" s="293"/>
      <c r="F471" s="267" t="s">
        <v>121</v>
      </c>
      <c r="G471" s="267"/>
      <c r="H471" s="268"/>
      <c r="I471" s="268"/>
      <c r="J471" s="317">
        <f>J469</f>
        <v>400</v>
      </c>
      <c r="K471" s="317" t="str">
        <f>K469</f>
        <v>NB</v>
      </c>
      <c r="L471" s="367" t="str">
        <f t="shared" ref="L471" si="169">J471&amp;" "&amp;K471</f>
        <v>400 NB</v>
      </c>
      <c r="M471" s="319">
        <v>1</v>
      </c>
      <c r="N471" s="296" t="s">
        <v>81</v>
      </c>
      <c r="O471" s="272">
        <v>1</v>
      </c>
      <c r="P471" s="271"/>
      <c r="Q471" s="324" t="e">
        <f>VLOOKUP(L471,BM!$B$3:$Y$62,4,FALSE)</f>
        <v>#N/A</v>
      </c>
      <c r="R471" s="271" t="s">
        <v>112</v>
      </c>
      <c r="S471" s="290" t="e">
        <f t="shared" si="129"/>
        <v>#N/A</v>
      </c>
      <c r="T471" s="275">
        <v>1</v>
      </c>
      <c r="U471" s="290" t="e">
        <f t="shared" si="130"/>
        <v>#N/A</v>
      </c>
      <c r="V471" s="276" t="s">
        <v>48</v>
      </c>
    </row>
    <row r="472" spans="1:22" s="172" customFormat="1" ht="20.25" customHeight="1">
      <c r="A472" s="263" t="str">
        <f t="shared" si="126"/>
        <v/>
      </c>
      <c r="B472" s="263"/>
      <c r="C472" s="264">
        <f t="shared" si="155"/>
        <v>471</v>
      </c>
      <c r="D472" s="277" t="s">
        <v>1640</v>
      </c>
      <c r="E472" s="293">
        <f t="shared" si="127"/>
        <v>470</v>
      </c>
      <c r="F472" s="267" t="s">
        <v>121</v>
      </c>
      <c r="G472" s="267"/>
      <c r="H472" s="268"/>
      <c r="I472" s="268"/>
      <c r="J472" s="317">
        <f>J469</f>
        <v>400</v>
      </c>
      <c r="K472" s="317" t="str">
        <f>K469</f>
        <v>NB</v>
      </c>
      <c r="L472" s="367" t="str">
        <f t="shared" ref="L472" si="170">J472&amp;" "&amp;K472</f>
        <v>400 NB</v>
      </c>
      <c r="M472" s="319">
        <v>1</v>
      </c>
      <c r="N472" s="296" t="s">
        <v>81</v>
      </c>
      <c r="O472" s="272">
        <v>1</v>
      </c>
      <c r="P472" s="271"/>
      <c r="Q472" s="324" t="e">
        <f>VLOOKUP(L472,BM!$B$3:$Y$62,4,FALSE)</f>
        <v>#N/A</v>
      </c>
      <c r="R472" s="271" t="s">
        <v>112</v>
      </c>
      <c r="S472" s="290" t="e">
        <f t="shared" si="129"/>
        <v>#N/A</v>
      </c>
      <c r="T472" s="275">
        <v>1</v>
      </c>
      <c r="U472" s="290" t="e">
        <f t="shared" si="130"/>
        <v>#N/A</v>
      </c>
      <c r="V472" s="276" t="s">
        <v>48</v>
      </c>
    </row>
    <row r="473" spans="1:22" s="172" customFormat="1" ht="20.25" customHeight="1">
      <c r="A473" s="263">
        <f t="shared" si="126"/>
        <v>472</v>
      </c>
      <c r="B473" s="263" t="s">
        <v>1263</v>
      </c>
      <c r="C473" s="264">
        <f t="shared" si="155"/>
        <v>472</v>
      </c>
      <c r="D473" s="265" t="s">
        <v>1641</v>
      </c>
      <c r="E473" s="279">
        <f>A470</f>
        <v>469</v>
      </c>
      <c r="F473" s="267"/>
      <c r="G473" s="267"/>
      <c r="H473" s="268"/>
      <c r="I473" s="268"/>
      <c r="J473" s="269"/>
      <c r="K473" s="269"/>
      <c r="L473" s="269"/>
      <c r="M473" s="319"/>
      <c r="N473" s="271"/>
      <c r="O473" s="280"/>
      <c r="P473" s="271"/>
      <c r="Q473" s="281"/>
      <c r="R473" s="271"/>
      <c r="S473" s="312"/>
      <c r="T473" s="282"/>
      <c r="U473" s="312"/>
      <c r="V473" s="276"/>
    </row>
    <row r="474" spans="1:22" s="172" customFormat="1" ht="20.25" customHeight="1">
      <c r="A474" s="263" t="str">
        <f t="shared" si="126"/>
        <v/>
      </c>
      <c r="B474" s="263"/>
      <c r="C474" s="264">
        <f t="shared" si="155"/>
        <v>473</v>
      </c>
      <c r="D474" s="277" t="s">
        <v>1642</v>
      </c>
      <c r="E474" s="293"/>
      <c r="F474" s="267" t="s">
        <v>111</v>
      </c>
      <c r="G474" s="267"/>
      <c r="H474" s="268"/>
      <c r="I474" s="268"/>
      <c r="J474" s="322">
        <v>400</v>
      </c>
      <c r="K474" s="322" t="s">
        <v>1090</v>
      </c>
      <c r="L474" s="367" t="str">
        <f>J474&amp;" "&amp;K474</f>
        <v>400 NB</v>
      </c>
      <c r="M474" s="319">
        <v>1</v>
      </c>
      <c r="N474" s="296" t="s">
        <v>81</v>
      </c>
      <c r="O474" s="272">
        <v>1</v>
      </c>
      <c r="P474" s="296" t="s">
        <v>81</v>
      </c>
      <c r="Q474" s="324" t="e">
        <f>VLOOKUP(L474,BM!$B$3:$Y$62,5,FALSE)</f>
        <v>#N/A</v>
      </c>
      <c r="R474" s="271" t="s">
        <v>112</v>
      </c>
      <c r="S474" s="290" t="e">
        <f t="shared" si="129"/>
        <v>#N/A</v>
      </c>
      <c r="T474" s="275">
        <v>1</v>
      </c>
      <c r="U474" s="290" t="e">
        <f t="shared" si="130"/>
        <v>#N/A</v>
      </c>
      <c r="V474" s="276" t="s">
        <v>48</v>
      </c>
    </row>
    <row r="475" spans="1:22" s="172" customFormat="1" ht="20.25" customHeight="1">
      <c r="A475" s="263" t="str">
        <f t="shared" si="126"/>
        <v/>
      </c>
      <c r="B475" s="263"/>
      <c r="C475" s="264">
        <f t="shared" si="155"/>
        <v>474</v>
      </c>
      <c r="D475" s="277" t="s">
        <v>1643</v>
      </c>
      <c r="E475" s="293">
        <f t="shared" si="127"/>
        <v>473</v>
      </c>
      <c r="F475" s="267" t="s">
        <v>111</v>
      </c>
      <c r="G475" s="267"/>
      <c r="H475" s="268"/>
      <c r="I475" s="268"/>
      <c r="J475" s="322">
        <v>400</v>
      </c>
      <c r="K475" s="322" t="s">
        <v>1090</v>
      </c>
      <c r="L475" s="367" t="str">
        <f>J475&amp;" "&amp;K475</f>
        <v>400 NB</v>
      </c>
      <c r="M475" s="319">
        <v>1</v>
      </c>
      <c r="N475" s="296" t="s">
        <v>81</v>
      </c>
      <c r="O475" s="272">
        <v>1</v>
      </c>
      <c r="P475" s="296" t="s">
        <v>81</v>
      </c>
      <c r="Q475" s="324" t="e">
        <f>VLOOKUP(L475,BM!$B$3:$Y$62,5,FALSE)</f>
        <v>#N/A</v>
      </c>
      <c r="R475" s="271" t="s">
        <v>112</v>
      </c>
      <c r="S475" s="290" t="e">
        <f t="shared" si="129"/>
        <v>#N/A</v>
      </c>
      <c r="T475" s="275">
        <v>1</v>
      </c>
      <c r="U475" s="290" t="e">
        <f t="shared" si="130"/>
        <v>#N/A</v>
      </c>
      <c r="V475" s="276" t="s">
        <v>48</v>
      </c>
    </row>
    <row r="476" spans="1:22" s="172" customFormat="1" ht="20.25" customHeight="1">
      <c r="A476" s="263">
        <f t="shared" ref="A476:A539" si="171">IF(B476="Yes",C476,"")</f>
        <v>475</v>
      </c>
      <c r="B476" s="263" t="s">
        <v>1263</v>
      </c>
      <c r="C476" s="264">
        <f t="shared" si="155"/>
        <v>475</v>
      </c>
      <c r="D476" s="265" t="s">
        <v>1644</v>
      </c>
      <c r="E476" s="279">
        <f>A473</f>
        <v>472</v>
      </c>
      <c r="F476" s="267"/>
      <c r="G476" s="267"/>
      <c r="H476" s="268"/>
      <c r="I476" s="268"/>
      <c r="J476" s="269"/>
      <c r="K476" s="269"/>
      <c r="L476" s="269"/>
      <c r="M476" s="319"/>
      <c r="N476" s="271"/>
      <c r="O476" s="280"/>
      <c r="P476" s="271"/>
      <c r="Q476" s="281"/>
      <c r="R476" s="271"/>
      <c r="S476" s="312"/>
      <c r="T476" s="282"/>
      <c r="U476" s="312"/>
      <c r="V476" s="276"/>
    </row>
    <row r="477" spans="1:22" s="172" customFormat="1" ht="20.25" customHeight="1">
      <c r="A477" s="263" t="str">
        <f t="shared" si="171"/>
        <v/>
      </c>
      <c r="B477" s="263"/>
      <c r="C477" s="264">
        <f t="shared" si="155"/>
        <v>476</v>
      </c>
      <c r="D477" s="277" t="s">
        <v>1645</v>
      </c>
      <c r="E477" s="293"/>
      <c r="F477" s="267" t="s">
        <v>44</v>
      </c>
      <c r="G477" s="267"/>
      <c r="H477" s="268"/>
      <c r="I477" s="268"/>
      <c r="J477" s="322">
        <v>400</v>
      </c>
      <c r="K477" s="322" t="s">
        <v>1090</v>
      </c>
      <c r="L477" s="367" t="str">
        <f t="shared" ref="L477:L478" si="172">J477&amp;" "&amp;K477</f>
        <v>400 NB</v>
      </c>
      <c r="M477" s="319">
        <v>1</v>
      </c>
      <c r="N477" s="296" t="s">
        <v>81</v>
      </c>
      <c r="O477" s="272">
        <v>1</v>
      </c>
      <c r="P477" s="296" t="s">
        <v>81</v>
      </c>
      <c r="Q477" s="273">
        <v>1</v>
      </c>
      <c r="R477" s="271" t="s">
        <v>112</v>
      </c>
      <c r="S477" s="290">
        <f t="shared" ref="S477:S540" si="173">O477*Q477</f>
        <v>1</v>
      </c>
      <c r="T477" s="275">
        <v>1</v>
      </c>
      <c r="U477" s="290">
        <f t="shared" si="130"/>
        <v>2</v>
      </c>
      <c r="V477" s="276" t="s">
        <v>48</v>
      </c>
    </row>
    <row r="478" spans="1:22" s="172" customFormat="1" ht="20.25" customHeight="1">
      <c r="A478" s="263" t="str">
        <f t="shared" si="171"/>
        <v/>
      </c>
      <c r="B478" s="263"/>
      <c r="C478" s="264">
        <f t="shared" si="155"/>
        <v>477</v>
      </c>
      <c r="D478" s="277" t="s">
        <v>1646</v>
      </c>
      <c r="E478" s="293">
        <f t="shared" ref="E478:E541" si="174">C477</f>
        <v>476</v>
      </c>
      <c r="F478" s="267" t="s">
        <v>44</v>
      </c>
      <c r="G478" s="267"/>
      <c r="H478" s="268"/>
      <c r="I478" s="268"/>
      <c r="J478" s="322">
        <v>400</v>
      </c>
      <c r="K478" s="322" t="s">
        <v>1090</v>
      </c>
      <c r="L478" s="367" t="str">
        <f t="shared" si="172"/>
        <v>400 NB</v>
      </c>
      <c r="M478" s="319">
        <v>1</v>
      </c>
      <c r="N478" s="296" t="s">
        <v>81</v>
      </c>
      <c r="O478" s="272">
        <v>1</v>
      </c>
      <c r="P478" s="296" t="s">
        <v>81</v>
      </c>
      <c r="Q478" s="273">
        <v>1</v>
      </c>
      <c r="R478" s="271" t="s">
        <v>112</v>
      </c>
      <c r="S478" s="290">
        <f t="shared" si="173"/>
        <v>1</v>
      </c>
      <c r="T478" s="275">
        <v>1</v>
      </c>
      <c r="U478" s="290">
        <f t="shared" ref="U478:U541" si="175">ROUND(S478+T478,2)</f>
        <v>2</v>
      </c>
      <c r="V478" s="276" t="s">
        <v>48</v>
      </c>
    </row>
    <row r="479" spans="1:22" s="172" customFormat="1" ht="20.25" customHeight="1">
      <c r="A479" s="263">
        <f t="shared" si="171"/>
        <v>478</v>
      </c>
      <c r="B479" s="263" t="s">
        <v>1263</v>
      </c>
      <c r="C479" s="264">
        <f t="shared" si="155"/>
        <v>478</v>
      </c>
      <c r="D479" s="265" t="s">
        <v>1647</v>
      </c>
      <c r="E479" s="279">
        <f>A476</f>
        <v>475</v>
      </c>
      <c r="F479" s="267"/>
      <c r="G479" s="267"/>
      <c r="H479" s="268"/>
      <c r="I479" s="268"/>
      <c r="J479" s="269"/>
      <c r="K479" s="269"/>
      <c r="L479" s="269"/>
      <c r="M479" s="319"/>
      <c r="N479" s="271"/>
      <c r="O479" s="280"/>
      <c r="P479" s="271"/>
      <c r="Q479" s="281"/>
      <c r="R479" s="271"/>
      <c r="S479" s="312"/>
      <c r="T479" s="282"/>
      <c r="U479" s="312"/>
      <c r="V479" s="276"/>
    </row>
    <row r="480" spans="1:22" s="172" customFormat="1" ht="20.25" customHeight="1">
      <c r="A480" s="263" t="str">
        <f t="shared" si="171"/>
        <v/>
      </c>
      <c r="B480" s="263"/>
      <c r="C480" s="264">
        <f t="shared" si="155"/>
        <v>479</v>
      </c>
      <c r="D480" s="277" t="s">
        <v>1648</v>
      </c>
      <c r="E480" s="293"/>
      <c r="F480" s="267" t="s">
        <v>201</v>
      </c>
      <c r="G480" s="267"/>
      <c r="H480" s="268"/>
      <c r="I480" s="268"/>
      <c r="J480" s="322">
        <v>400</v>
      </c>
      <c r="K480" s="322" t="s">
        <v>1090</v>
      </c>
      <c r="L480" s="367" t="str">
        <f t="shared" ref="L480:L486" si="176">J480&amp;" "&amp;K480</f>
        <v>400 NB</v>
      </c>
      <c r="M480" s="319">
        <v>2</v>
      </c>
      <c r="N480" s="271" t="s">
        <v>81</v>
      </c>
      <c r="O480" s="272">
        <v>1</v>
      </c>
      <c r="P480" s="296" t="s">
        <v>81</v>
      </c>
      <c r="Q480" s="273">
        <v>0.5</v>
      </c>
      <c r="R480" s="271" t="s">
        <v>112</v>
      </c>
      <c r="S480" s="290">
        <f t="shared" si="173"/>
        <v>0.5</v>
      </c>
      <c r="T480" s="275">
        <v>1</v>
      </c>
      <c r="U480" s="290">
        <f t="shared" si="175"/>
        <v>1.5</v>
      </c>
      <c r="V480" s="276" t="s">
        <v>48</v>
      </c>
    </row>
    <row r="481" spans="1:22" s="172" customFormat="1" ht="20.25" customHeight="1">
      <c r="A481" s="263" t="str">
        <f t="shared" si="171"/>
        <v/>
      </c>
      <c r="B481" s="263"/>
      <c r="C481" s="264">
        <f t="shared" si="155"/>
        <v>480</v>
      </c>
      <c r="D481" s="277" t="s">
        <v>1649</v>
      </c>
      <c r="E481" s="293">
        <f t="shared" si="174"/>
        <v>479</v>
      </c>
      <c r="F481" s="267" t="s">
        <v>115</v>
      </c>
      <c r="G481" s="267"/>
      <c r="H481" s="316">
        <v>14</v>
      </c>
      <c r="I481" s="316"/>
      <c r="J481" s="316">
        <v>407</v>
      </c>
      <c r="K481" s="322" t="s">
        <v>1831</v>
      </c>
      <c r="L481" s="367" t="str">
        <f t="shared" si="176"/>
        <v>407 mm</v>
      </c>
      <c r="M481" s="319">
        <v>1</v>
      </c>
      <c r="N481" s="296" t="s">
        <v>81</v>
      </c>
      <c r="O481" s="327">
        <f>16*25.4*3.142*M481/1000</f>
        <v>1.2769088</v>
      </c>
      <c r="P481" s="271" t="s">
        <v>249</v>
      </c>
      <c r="Q481" s="324">
        <f>VLOOKUP(H481,BM!$B$3:$Y$62,17,FALSE)</f>
        <v>3.22</v>
      </c>
      <c r="R481" s="271" t="s">
        <v>112</v>
      </c>
      <c r="S481" s="290">
        <f t="shared" si="173"/>
        <v>4.1116463359999997</v>
      </c>
      <c r="T481" s="275">
        <v>1</v>
      </c>
      <c r="U481" s="290">
        <f t="shared" si="175"/>
        <v>5.1100000000000003</v>
      </c>
      <c r="V481" s="276" t="s">
        <v>48</v>
      </c>
    </row>
    <row r="482" spans="1:22" s="172" customFormat="1" ht="20.25" customHeight="1">
      <c r="A482" s="263" t="str">
        <f t="shared" si="171"/>
        <v/>
      </c>
      <c r="B482" s="263"/>
      <c r="C482" s="264">
        <f t="shared" si="155"/>
        <v>481</v>
      </c>
      <c r="D482" s="277" t="s">
        <v>1650</v>
      </c>
      <c r="E482" s="293">
        <f t="shared" si="174"/>
        <v>480</v>
      </c>
      <c r="F482" s="267" t="s">
        <v>115</v>
      </c>
      <c r="G482" s="267"/>
      <c r="H482" s="316">
        <v>14</v>
      </c>
      <c r="I482" s="316"/>
      <c r="J482" s="316">
        <v>407</v>
      </c>
      <c r="K482" s="322" t="s">
        <v>1831</v>
      </c>
      <c r="L482" s="367" t="str">
        <f t="shared" si="176"/>
        <v>407 mm</v>
      </c>
      <c r="M482" s="319">
        <v>1</v>
      </c>
      <c r="N482" s="296" t="s">
        <v>81</v>
      </c>
      <c r="O482" s="327">
        <f>16*25.4*3.142*M482/1000</f>
        <v>1.2769088</v>
      </c>
      <c r="P482" s="271" t="s">
        <v>249</v>
      </c>
      <c r="Q482" s="324">
        <f>VLOOKUP(H482,BM!$B$3:$Y$62,17,FALSE)</f>
        <v>3.22</v>
      </c>
      <c r="R482" s="271" t="s">
        <v>112</v>
      </c>
      <c r="S482" s="290">
        <f t="shared" si="173"/>
        <v>4.1116463359999997</v>
      </c>
      <c r="T482" s="275">
        <v>1</v>
      </c>
      <c r="U482" s="290">
        <f t="shared" si="175"/>
        <v>5.1100000000000003</v>
      </c>
      <c r="V482" s="276" t="s">
        <v>48</v>
      </c>
    </row>
    <row r="483" spans="1:22" s="172" customFormat="1" ht="20.25" customHeight="1">
      <c r="A483" s="263" t="str">
        <f t="shared" si="171"/>
        <v/>
      </c>
      <c r="B483" s="263"/>
      <c r="C483" s="264">
        <f t="shared" si="155"/>
        <v>482</v>
      </c>
      <c r="D483" s="277" t="s">
        <v>1651</v>
      </c>
      <c r="E483" s="293">
        <f t="shared" si="174"/>
        <v>481</v>
      </c>
      <c r="F483" s="267" t="s">
        <v>115</v>
      </c>
      <c r="G483" s="267"/>
      <c r="H483" s="316">
        <v>14</v>
      </c>
      <c r="I483" s="316"/>
      <c r="J483" s="316">
        <v>407</v>
      </c>
      <c r="K483" s="322" t="s">
        <v>1831</v>
      </c>
      <c r="L483" s="367" t="str">
        <f t="shared" si="176"/>
        <v>407 mm</v>
      </c>
      <c r="M483" s="319">
        <v>2</v>
      </c>
      <c r="N483" s="296" t="s">
        <v>81</v>
      </c>
      <c r="O483" s="272">
        <v>2</v>
      </c>
      <c r="P483" s="271" t="s">
        <v>81</v>
      </c>
      <c r="Q483" s="273">
        <v>1</v>
      </c>
      <c r="R483" s="271" t="s">
        <v>112</v>
      </c>
      <c r="S483" s="290">
        <f t="shared" si="173"/>
        <v>2</v>
      </c>
      <c r="T483" s="275">
        <v>1</v>
      </c>
      <c r="U483" s="290">
        <f t="shared" si="175"/>
        <v>3</v>
      </c>
      <c r="V483" s="276" t="s">
        <v>48</v>
      </c>
    </row>
    <row r="484" spans="1:22" s="172" customFormat="1" ht="20.25" customHeight="1">
      <c r="A484" s="263" t="str">
        <f t="shared" si="171"/>
        <v/>
      </c>
      <c r="B484" s="263"/>
      <c r="C484" s="264">
        <f t="shared" si="155"/>
        <v>483</v>
      </c>
      <c r="D484" s="277" t="s">
        <v>1652</v>
      </c>
      <c r="E484" s="293">
        <f t="shared" si="174"/>
        <v>482</v>
      </c>
      <c r="F484" s="267" t="s">
        <v>115</v>
      </c>
      <c r="G484" s="267"/>
      <c r="H484" s="316">
        <v>6</v>
      </c>
      <c r="I484" s="316"/>
      <c r="J484" s="316">
        <v>407</v>
      </c>
      <c r="K484" s="322" t="s">
        <v>1831</v>
      </c>
      <c r="L484" s="367" t="str">
        <f t="shared" si="176"/>
        <v>407 mm</v>
      </c>
      <c r="M484" s="319">
        <v>1</v>
      </c>
      <c r="N484" s="296" t="s">
        <v>81</v>
      </c>
      <c r="O484" s="327">
        <f>16*25.4*3.142*M484/1000</f>
        <v>1.2769088</v>
      </c>
      <c r="P484" s="271" t="s">
        <v>249</v>
      </c>
      <c r="Q484" s="324">
        <f>VLOOKUP(H484,BM!$B$3:$Y$62,17,FALSE)</f>
        <v>0.9</v>
      </c>
      <c r="R484" s="271" t="s">
        <v>112</v>
      </c>
      <c r="S484" s="290">
        <f t="shared" si="173"/>
        <v>1.1492179199999999</v>
      </c>
      <c r="T484" s="275">
        <v>1</v>
      </c>
      <c r="U484" s="290">
        <f t="shared" si="175"/>
        <v>2.15</v>
      </c>
      <c r="V484" s="276" t="s">
        <v>48</v>
      </c>
    </row>
    <row r="485" spans="1:22" s="172" customFormat="1" ht="20.25" customHeight="1">
      <c r="A485" s="263" t="str">
        <f t="shared" si="171"/>
        <v/>
      </c>
      <c r="B485" s="263"/>
      <c r="C485" s="264">
        <f t="shared" si="155"/>
        <v>484</v>
      </c>
      <c r="D485" s="277" t="s">
        <v>1653</v>
      </c>
      <c r="E485" s="293">
        <f t="shared" si="174"/>
        <v>483</v>
      </c>
      <c r="F485" s="267" t="s">
        <v>115</v>
      </c>
      <c r="G485" s="267"/>
      <c r="H485" s="316">
        <v>6</v>
      </c>
      <c r="I485" s="316"/>
      <c r="J485" s="316">
        <v>407</v>
      </c>
      <c r="K485" s="322" t="s">
        <v>1831</v>
      </c>
      <c r="L485" s="367" t="str">
        <f t="shared" si="176"/>
        <v>407 mm</v>
      </c>
      <c r="M485" s="319">
        <v>1</v>
      </c>
      <c r="N485" s="296" t="s">
        <v>81</v>
      </c>
      <c r="O485" s="327">
        <f>16*25.4*3.142*M485/1000</f>
        <v>1.2769088</v>
      </c>
      <c r="P485" s="271" t="s">
        <v>249</v>
      </c>
      <c r="Q485" s="324">
        <f>VLOOKUP(H485,BM!$B$3:$Y$62,17,FALSE)</f>
        <v>0.9</v>
      </c>
      <c r="R485" s="271" t="s">
        <v>112</v>
      </c>
      <c r="S485" s="290">
        <f t="shared" si="173"/>
        <v>1.1492179199999999</v>
      </c>
      <c r="T485" s="275">
        <v>1</v>
      </c>
      <c r="U485" s="290">
        <f t="shared" si="175"/>
        <v>2.15</v>
      </c>
      <c r="V485" s="276" t="s">
        <v>48</v>
      </c>
    </row>
    <row r="486" spans="1:22" s="172" customFormat="1" ht="20.25" customHeight="1">
      <c r="A486" s="263" t="str">
        <f t="shared" si="171"/>
        <v/>
      </c>
      <c r="B486" s="263"/>
      <c r="C486" s="264">
        <f t="shared" si="155"/>
        <v>485</v>
      </c>
      <c r="D486" s="277" t="s">
        <v>1654</v>
      </c>
      <c r="E486" s="293">
        <f t="shared" si="174"/>
        <v>484</v>
      </c>
      <c r="F486" s="267" t="s">
        <v>115</v>
      </c>
      <c r="G486" s="267"/>
      <c r="H486" s="268"/>
      <c r="I486" s="268"/>
      <c r="J486" s="322">
        <v>400</v>
      </c>
      <c r="K486" s="322" t="s">
        <v>1090</v>
      </c>
      <c r="L486" s="367" t="str">
        <f t="shared" si="176"/>
        <v>400 NB</v>
      </c>
      <c r="M486" s="319">
        <v>2</v>
      </c>
      <c r="N486" s="296" t="s">
        <v>81</v>
      </c>
      <c r="O486" s="272">
        <v>2</v>
      </c>
      <c r="P486" s="271" t="s">
        <v>84</v>
      </c>
      <c r="Q486" s="324" t="e">
        <f>VLOOKUP(L486,BM!$B$3:$Y$62,11,FALSE)</f>
        <v>#N/A</v>
      </c>
      <c r="R486" s="271" t="s">
        <v>112</v>
      </c>
      <c r="S486" s="290" t="e">
        <f t="shared" si="173"/>
        <v>#N/A</v>
      </c>
      <c r="T486" s="275">
        <v>1</v>
      </c>
      <c r="U486" s="290" t="e">
        <f t="shared" si="175"/>
        <v>#N/A</v>
      </c>
      <c r="V486" s="276" t="s">
        <v>48</v>
      </c>
    </row>
    <row r="487" spans="1:22" s="172" customFormat="1" ht="20.25" customHeight="1">
      <c r="A487" s="263" t="str">
        <f t="shared" si="171"/>
        <v/>
      </c>
      <c r="B487" s="263"/>
      <c r="C487" s="264">
        <f t="shared" si="155"/>
        <v>486</v>
      </c>
      <c r="D487" s="277" t="s">
        <v>1655</v>
      </c>
      <c r="E487" s="293">
        <f t="shared" si="174"/>
        <v>485</v>
      </c>
      <c r="F487" s="267" t="s">
        <v>121</v>
      </c>
      <c r="G487" s="267"/>
      <c r="H487" s="316">
        <v>18</v>
      </c>
      <c r="I487" s="316"/>
      <c r="J487" s="269"/>
      <c r="K487" s="269"/>
      <c r="L487" s="269"/>
      <c r="M487" s="319">
        <v>2</v>
      </c>
      <c r="N487" s="296" t="s">
        <v>81</v>
      </c>
      <c r="O487" s="327">
        <f>16*25.4*3.142*0.001*M487</f>
        <v>2.5538175999999999</v>
      </c>
      <c r="P487" s="271" t="s">
        <v>249</v>
      </c>
      <c r="Q487" s="324">
        <f>VLOOKUP(H487,BM!$B$3:$Y$62,23,FALSE)</f>
        <v>6.8</v>
      </c>
      <c r="R487" s="271" t="s">
        <v>112</v>
      </c>
      <c r="S487" s="290">
        <f t="shared" si="173"/>
        <v>17.36595968</v>
      </c>
      <c r="T487" s="275">
        <v>1</v>
      </c>
      <c r="U487" s="290">
        <f t="shared" si="175"/>
        <v>18.37</v>
      </c>
      <c r="V487" s="276" t="s">
        <v>48</v>
      </c>
    </row>
    <row r="488" spans="1:22" s="172" customFormat="1" ht="20.25" customHeight="1">
      <c r="A488" s="263" t="str">
        <f t="shared" si="171"/>
        <v/>
      </c>
      <c r="B488" s="263"/>
      <c r="C488" s="264">
        <f t="shared" si="155"/>
        <v>487</v>
      </c>
      <c r="D488" s="277" t="s">
        <v>1656</v>
      </c>
      <c r="E488" s="293">
        <f t="shared" si="174"/>
        <v>486</v>
      </c>
      <c r="F488" s="267" t="s">
        <v>61</v>
      </c>
      <c r="G488" s="267"/>
      <c r="H488" s="268"/>
      <c r="I488" s="268"/>
      <c r="J488" s="316">
        <v>407</v>
      </c>
      <c r="K488" s="322" t="s">
        <v>1831</v>
      </c>
      <c r="L488" s="367" t="str">
        <f>J488&amp;" "&amp;K488</f>
        <v>407 mm</v>
      </c>
      <c r="M488" s="319">
        <v>2</v>
      </c>
      <c r="N488" s="271" t="s">
        <v>485</v>
      </c>
      <c r="O488" s="327">
        <f>16*25.4*3.142*M488/1000</f>
        <v>2.5538175999999999</v>
      </c>
      <c r="P488" s="296" t="s">
        <v>81</v>
      </c>
      <c r="Q488" s="273">
        <v>0.15</v>
      </c>
      <c r="R488" s="271" t="s">
        <v>112</v>
      </c>
      <c r="S488" s="290">
        <f t="shared" si="173"/>
        <v>0.38307263999999996</v>
      </c>
      <c r="T488" s="275">
        <v>1</v>
      </c>
      <c r="U488" s="290">
        <f t="shared" si="175"/>
        <v>1.38</v>
      </c>
      <c r="V488" s="276" t="s">
        <v>48</v>
      </c>
    </row>
    <row r="489" spans="1:22" s="172" customFormat="1" ht="20.25" customHeight="1">
      <c r="A489" s="263">
        <f t="shared" si="171"/>
        <v>488</v>
      </c>
      <c r="B489" s="263" t="s">
        <v>1263</v>
      </c>
      <c r="C489" s="264">
        <f t="shared" si="155"/>
        <v>488</v>
      </c>
      <c r="D489" s="265" t="s">
        <v>1657</v>
      </c>
      <c r="E489" s="279">
        <f>A479</f>
        <v>478</v>
      </c>
      <c r="F489" s="267"/>
      <c r="G489" s="267"/>
      <c r="H489" s="268"/>
      <c r="I489" s="268"/>
      <c r="J489" s="269"/>
      <c r="K489" s="269"/>
      <c r="L489" s="269"/>
      <c r="M489" s="319"/>
      <c r="N489" s="271"/>
      <c r="O489" s="280"/>
      <c r="P489" s="271"/>
      <c r="Q489" s="281"/>
      <c r="R489" s="271"/>
      <c r="S489" s="312"/>
      <c r="T489" s="282"/>
      <c r="U489" s="312"/>
      <c r="V489" s="276"/>
    </row>
    <row r="490" spans="1:22" s="172" customFormat="1" ht="20.25" customHeight="1">
      <c r="A490" s="263" t="str">
        <f t="shared" si="171"/>
        <v/>
      </c>
      <c r="B490" s="263"/>
      <c r="C490" s="264">
        <f t="shared" si="155"/>
        <v>489</v>
      </c>
      <c r="D490" s="277" t="s">
        <v>1658</v>
      </c>
      <c r="E490" s="293"/>
      <c r="F490" s="267" t="s">
        <v>299</v>
      </c>
      <c r="G490" s="267"/>
      <c r="H490" s="316">
        <v>24</v>
      </c>
      <c r="I490" s="316"/>
      <c r="J490" s="316">
        <v>14465</v>
      </c>
      <c r="K490" s="316"/>
      <c r="L490" s="367" t="str">
        <f t="shared" ref="L490:L491" si="177">J490&amp;" "&amp;K490</f>
        <v xml:space="preserve">14465 </v>
      </c>
      <c r="M490" s="319">
        <v>1</v>
      </c>
      <c r="N490" s="296" t="s">
        <v>81</v>
      </c>
      <c r="O490" s="321">
        <f>L490*M490/1000</f>
        <v>14.465</v>
      </c>
      <c r="P490" s="271" t="s">
        <v>81</v>
      </c>
      <c r="Q490" s="273">
        <v>0.5</v>
      </c>
      <c r="R490" s="271" t="s">
        <v>112</v>
      </c>
      <c r="S490" s="290">
        <f t="shared" si="173"/>
        <v>7.2324999999999999</v>
      </c>
      <c r="T490" s="275">
        <v>1</v>
      </c>
      <c r="U490" s="290">
        <f t="shared" si="175"/>
        <v>8.23</v>
      </c>
      <c r="V490" s="276" t="s">
        <v>48</v>
      </c>
    </row>
    <row r="491" spans="1:22" s="172" customFormat="1" ht="20.25" customHeight="1">
      <c r="A491" s="263" t="str">
        <f t="shared" si="171"/>
        <v/>
      </c>
      <c r="B491" s="263"/>
      <c r="C491" s="264">
        <f t="shared" si="155"/>
        <v>490</v>
      </c>
      <c r="D491" s="277" t="s">
        <v>1659</v>
      </c>
      <c r="E491" s="293">
        <f t="shared" si="174"/>
        <v>489</v>
      </c>
      <c r="F491" s="267" t="s">
        <v>44</v>
      </c>
      <c r="G491" s="267"/>
      <c r="H491" s="316">
        <v>24</v>
      </c>
      <c r="I491" s="316"/>
      <c r="J491" s="316">
        <v>1560</v>
      </c>
      <c r="K491" s="322" t="s">
        <v>1836</v>
      </c>
      <c r="L491" s="367" t="str">
        <f t="shared" si="177"/>
        <v>1560 id</v>
      </c>
      <c r="M491" s="319">
        <v>3</v>
      </c>
      <c r="N491" s="296" t="s">
        <v>81</v>
      </c>
      <c r="O491" s="272">
        <v>4</v>
      </c>
      <c r="P491" s="271" t="s">
        <v>81</v>
      </c>
      <c r="Q491" s="273">
        <v>0.5</v>
      </c>
      <c r="R491" s="271" t="s">
        <v>112</v>
      </c>
      <c r="S491" s="290">
        <f t="shared" si="173"/>
        <v>2</v>
      </c>
      <c r="T491" s="275">
        <v>1</v>
      </c>
      <c r="U491" s="290">
        <f t="shared" si="175"/>
        <v>3</v>
      </c>
      <c r="V491" s="276" t="s">
        <v>48</v>
      </c>
    </row>
    <row r="492" spans="1:22" s="172" customFormat="1" ht="20.25" customHeight="1">
      <c r="A492" s="263">
        <f t="shared" si="171"/>
        <v>491</v>
      </c>
      <c r="B492" s="263" t="s">
        <v>1263</v>
      </c>
      <c r="C492" s="264">
        <f t="shared" si="155"/>
        <v>491</v>
      </c>
      <c r="D492" s="265" t="s">
        <v>1660</v>
      </c>
      <c r="E492" s="279">
        <f>A489</f>
        <v>488</v>
      </c>
      <c r="F492" s="267"/>
      <c r="G492" s="267"/>
      <c r="H492" s="268"/>
      <c r="I492" s="268"/>
      <c r="J492" s="269"/>
      <c r="K492" s="269"/>
      <c r="L492" s="269"/>
      <c r="M492" s="319"/>
      <c r="N492" s="271"/>
      <c r="O492" s="280"/>
      <c r="P492" s="271"/>
      <c r="Q492" s="281"/>
      <c r="R492" s="271"/>
      <c r="S492" s="312"/>
      <c r="T492" s="282"/>
      <c r="U492" s="312"/>
      <c r="V492" s="276"/>
    </row>
    <row r="493" spans="1:22" s="172" customFormat="1" ht="20.25" customHeight="1">
      <c r="A493" s="263" t="str">
        <f t="shared" si="171"/>
        <v/>
      </c>
      <c r="B493" s="263"/>
      <c r="C493" s="264">
        <f t="shared" si="155"/>
        <v>492</v>
      </c>
      <c r="D493" s="277" t="s">
        <v>1661</v>
      </c>
      <c r="E493" s="293"/>
      <c r="F493" s="267" t="s">
        <v>115</v>
      </c>
      <c r="G493" s="267"/>
      <c r="H493" s="316">
        <v>24</v>
      </c>
      <c r="I493" s="316"/>
      <c r="J493" s="316">
        <v>1480</v>
      </c>
      <c r="K493" s="316"/>
      <c r="L493" s="367" t="str">
        <f t="shared" ref="L493:L494" si="178">J493&amp;" "&amp;K493</f>
        <v xml:space="preserve">1480 </v>
      </c>
      <c r="M493" s="319">
        <v>3</v>
      </c>
      <c r="N493" s="296" t="s">
        <v>81</v>
      </c>
      <c r="O493" s="327">
        <f>L493*M493/1000</f>
        <v>4.4400000000000004</v>
      </c>
      <c r="P493" s="271"/>
      <c r="Q493" s="324">
        <f>VLOOKUP(H493,BM!$B$3:$Y$62,23,FALSE)</f>
        <v>11.2</v>
      </c>
      <c r="R493" s="271" t="s">
        <v>112</v>
      </c>
      <c r="S493" s="290">
        <f t="shared" si="173"/>
        <v>49.728000000000002</v>
      </c>
      <c r="T493" s="275">
        <v>1</v>
      </c>
      <c r="U493" s="290">
        <f t="shared" si="175"/>
        <v>50.73</v>
      </c>
      <c r="V493" s="276" t="s">
        <v>48</v>
      </c>
    </row>
    <row r="494" spans="1:22" s="172" customFormat="1" ht="20.25" customHeight="1">
      <c r="A494" s="263" t="str">
        <f t="shared" si="171"/>
        <v/>
      </c>
      <c r="B494" s="263"/>
      <c r="C494" s="264">
        <f t="shared" si="155"/>
        <v>493</v>
      </c>
      <c r="D494" s="277" t="s">
        <v>1662</v>
      </c>
      <c r="E494" s="293">
        <f t="shared" si="174"/>
        <v>492</v>
      </c>
      <c r="F494" s="267" t="s">
        <v>121</v>
      </c>
      <c r="G494" s="267"/>
      <c r="H494" s="316">
        <v>12</v>
      </c>
      <c r="I494" s="316"/>
      <c r="J494" s="316">
        <v>12310</v>
      </c>
      <c r="K494" s="322" t="s">
        <v>1831</v>
      </c>
      <c r="L494" s="367" t="str">
        <f t="shared" si="178"/>
        <v>12310 mm</v>
      </c>
      <c r="M494" s="319">
        <v>1</v>
      </c>
      <c r="N494" s="296" t="s">
        <v>81</v>
      </c>
      <c r="O494" s="297">
        <f>LEFT(L494,SEARCH(" ",L494,1)-1)*M494/1000</f>
        <v>12.31</v>
      </c>
      <c r="P494" s="296" t="s">
        <v>81</v>
      </c>
      <c r="Q494" s="324">
        <f>VLOOKUP(H494,BM!$B$3:$Y$62,22,FALSE)</f>
        <v>1.6</v>
      </c>
      <c r="R494" s="271" t="s">
        <v>112</v>
      </c>
      <c r="S494" s="290">
        <f t="shared" si="173"/>
        <v>19.696000000000002</v>
      </c>
      <c r="T494" s="275">
        <v>1</v>
      </c>
      <c r="U494" s="290">
        <f t="shared" si="175"/>
        <v>20.7</v>
      </c>
      <c r="V494" s="276" t="s">
        <v>48</v>
      </c>
    </row>
    <row r="495" spans="1:22" s="172" customFormat="1" ht="20.25" customHeight="1">
      <c r="A495" s="263">
        <f t="shared" si="171"/>
        <v>494</v>
      </c>
      <c r="B495" s="263" t="s">
        <v>1263</v>
      </c>
      <c r="C495" s="264">
        <f t="shared" si="155"/>
        <v>494</v>
      </c>
      <c r="D495" s="265" t="s">
        <v>1663</v>
      </c>
      <c r="E495" s="279">
        <f>A492</f>
        <v>491</v>
      </c>
      <c r="F495" s="267"/>
      <c r="G495" s="267"/>
      <c r="H495" s="268"/>
      <c r="I495" s="268"/>
      <c r="J495" s="269"/>
      <c r="K495" s="269"/>
      <c r="L495" s="269"/>
      <c r="M495" s="319"/>
      <c r="N495" s="271"/>
      <c r="O495" s="280"/>
      <c r="P495" s="271"/>
      <c r="Q495" s="281"/>
      <c r="R495" s="271"/>
      <c r="S495" s="312"/>
      <c r="T495" s="282"/>
      <c r="U495" s="312"/>
      <c r="V495" s="276"/>
    </row>
    <row r="496" spans="1:22" s="172" customFormat="1" ht="20.25" customHeight="1">
      <c r="A496" s="263" t="str">
        <f t="shared" si="171"/>
        <v/>
      </c>
      <c r="B496" s="263"/>
      <c r="C496" s="264">
        <f t="shared" si="155"/>
        <v>495</v>
      </c>
      <c r="D496" s="277" t="s">
        <v>1664</v>
      </c>
      <c r="E496" s="293"/>
      <c r="F496" s="267" t="s">
        <v>44</v>
      </c>
      <c r="G496" s="267"/>
      <c r="H496" s="316">
        <v>18</v>
      </c>
      <c r="I496" s="316"/>
      <c r="J496" s="316">
        <v>1480</v>
      </c>
      <c r="K496" s="322" t="s">
        <v>1835</v>
      </c>
      <c r="L496" s="367" t="str">
        <f t="shared" ref="L496:L498" si="179">J496&amp;" "&amp;K496</f>
        <v>1480 lg</v>
      </c>
      <c r="M496" s="319">
        <v>1</v>
      </c>
      <c r="N496" s="296" t="s">
        <v>81</v>
      </c>
      <c r="O496" s="272">
        <v>1</v>
      </c>
      <c r="P496" s="296" t="s">
        <v>81</v>
      </c>
      <c r="Q496" s="273">
        <v>4</v>
      </c>
      <c r="R496" s="271" t="s">
        <v>112</v>
      </c>
      <c r="S496" s="290">
        <f t="shared" si="173"/>
        <v>4</v>
      </c>
      <c r="T496" s="275">
        <v>1</v>
      </c>
      <c r="U496" s="290">
        <f t="shared" si="175"/>
        <v>5</v>
      </c>
      <c r="V496" s="276" t="s">
        <v>48</v>
      </c>
    </row>
    <row r="497" spans="1:22" s="172" customFormat="1" ht="20.25" customHeight="1">
      <c r="A497" s="263" t="str">
        <f t="shared" si="171"/>
        <v/>
      </c>
      <c r="B497" s="263"/>
      <c r="C497" s="264">
        <f t="shared" si="155"/>
        <v>496</v>
      </c>
      <c r="D497" s="277" t="s">
        <v>1665</v>
      </c>
      <c r="E497" s="293">
        <f t="shared" si="174"/>
        <v>495</v>
      </c>
      <c r="F497" s="267" t="s">
        <v>498</v>
      </c>
      <c r="G497" s="267"/>
      <c r="H497" s="316">
        <v>18</v>
      </c>
      <c r="I497" s="316"/>
      <c r="J497" s="316">
        <v>1251</v>
      </c>
      <c r="K497" s="322" t="s">
        <v>1835</v>
      </c>
      <c r="L497" s="367" t="str">
        <f t="shared" si="179"/>
        <v>1251 lg</v>
      </c>
      <c r="M497" s="319">
        <v>1</v>
      </c>
      <c r="N497" s="296" t="s">
        <v>81</v>
      </c>
      <c r="O497" s="272">
        <v>1</v>
      </c>
      <c r="P497" s="296" t="s">
        <v>81</v>
      </c>
      <c r="Q497" s="273">
        <v>4</v>
      </c>
      <c r="R497" s="271" t="s">
        <v>112</v>
      </c>
      <c r="S497" s="290">
        <f t="shared" si="173"/>
        <v>4</v>
      </c>
      <c r="T497" s="275">
        <v>1</v>
      </c>
      <c r="U497" s="290">
        <f t="shared" si="175"/>
        <v>5</v>
      </c>
      <c r="V497" s="276" t="s">
        <v>48</v>
      </c>
    </row>
    <row r="498" spans="1:22" s="172" customFormat="1" ht="20.25" customHeight="1">
      <c r="A498" s="263" t="str">
        <f t="shared" si="171"/>
        <v/>
      </c>
      <c r="B498" s="263"/>
      <c r="C498" s="264">
        <f t="shared" si="155"/>
        <v>497</v>
      </c>
      <c r="D498" s="277" t="s">
        <v>1666</v>
      </c>
      <c r="E498" s="293">
        <f t="shared" si="174"/>
        <v>496</v>
      </c>
      <c r="F498" s="267" t="s">
        <v>115</v>
      </c>
      <c r="G498" s="267"/>
      <c r="H498" s="316">
        <v>12</v>
      </c>
      <c r="I498" s="316"/>
      <c r="J498" s="316">
        <v>6</v>
      </c>
      <c r="K498" s="316"/>
      <c r="L498" s="367" t="str">
        <f t="shared" si="179"/>
        <v xml:space="preserve">6 </v>
      </c>
      <c r="M498" s="319">
        <v>1</v>
      </c>
      <c r="N498" s="296" t="s">
        <v>81</v>
      </c>
      <c r="O498" s="327">
        <f>L498*M498</f>
        <v>6</v>
      </c>
      <c r="P498" s="271" t="s">
        <v>139</v>
      </c>
      <c r="Q498" s="324">
        <f>VLOOKUP(H498,BM!$B$3:$Y$62,22,FALSE)</f>
        <v>1.6</v>
      </c>
      <c r="R498" s="271" t="s">
        <v>112</v>
      </c>
      <c r="S498" s="290">
        <f t="shared" si="173"/>
        <v>9.6000000000000014</v>
      </c>
      <c r="T498" s="275">
        <v>1</v>
      </c>
      <c r="U498" s="290">
        <f t="shared" si="175"/>
        <v>10.6</v>
      </c>
      <c r="V498" s="276" t="s">
        <v>48</v>
      </c>
    </row>
    <row r="499" spans="1:22" s="172" customFormat="1" ht="20.25" customHeight="1">
      <c r="A499" s="263">
        <f t="shared" si="171"/>
        <v>498</v>
      </c>
      <c r="B499" s="263" t="s">
        <v>1263</v>
      </c>
      <c r="C499" s="264">
        <f t="shared" si="155"/>
        <v>498</v>
      </c>
      <c r="D499" s="265" t="s">
        <v>1667</v>
      </c>
      <c r="E499" s="279">
        <f>A495</f>
        <v>494</v>
      </c>
      <c r="F499" s="267"/>
      <c r="G499" s="267"/>
      <c r="H499" s="268"/>
      <c r="I499" s="268"/>
      <c r="J499" s="269"/>
      <c r="K499" s="269"/>
      <c r="L499" s="269"/>
      <c r="M499" s="319"/>
      <c r="N499" s="271"/>
      <c r="O499" s="280"/>
      <c r="P499" s="271"/>
      <c r="Q499" s="281"/>
      <c r="R499" s="271"/>
      <c r="S499" s="312"/>
      <c r="T499" s="282"/>
      <c r="U499" s="312"/>
      <c r="V499" s="276"/>
    </row>
    <row r="500" spans="1:22" s="172" customFormat="1" ht="20.25" customHeight="1">
      <c r="A500" s="263" t="str">
        <f t="shared" si="171"/>
        <v/>
      </c>
      <c r="B500" s="263"/>
      <c r="C500" s="264">
        <f t="shared" si="155"/>
        <v>499</v>
      </c>
      <c r="D500" s="277" t="s">
        <v>1668</v>
      </c>
      <c r="E500" s="293"/>
      <c r="F500" s="267" t="s">
        <v>149</v>
      </c>
      <c r="G500" s="267"/>
      <c r="H500" s="316">
        <v>18</v>
      </c>
      <c r="I500" s="316"/>
      <c r="J500" s="316">
        <v>1480</v>
      </c>
      <c r="K500" s="322" t="s">
        <v>1835</v>
      </c>
      <c r="L500" s="367" t="str">
        <f t="shared" ref="L500:L501" si="180">J500&amp;" "&amp;K500</f>
        <v>1480 lg</v>
      </c>
      <c r="M500" s="319">
        <v>1</v>
      </c>
      <c r="N500" s="296" t="s">
        <v>81</v>
      </c>
      <c r="O500" s="272">
        <v>1</v>
      </c>
      <c r="P500" s="296" t="s">
        <v>81</v>
      </c>
      <c r="Q500" s="273">
        <v>8</v>
      </c>
      <c r="R500" s="271" t="s">
        <v>112</v>
      </c>
      <c r="S500" s="290">
        <f t="shared" si="173"/>
        <v>8</v>
      </c>
      <c r="T500" s="275">
        <v>1</v>
      </c>
      <c r="U500" s="290">
        <f t="shared" si="175"/>
        <v>9</v>
      </c>
      <c r="V500" s="276" t="s">
        <v>48</v>
      </c>
    </row>
    <row r="501" spans="1:22" s="172" customFormat="1" ht="20.25" customHeight="1">
      <c r="A501" s="263" t="str">
        <f t="shared" si="171"/>
        <v/>
      </c>
      <c r="B501" s="263"/>
      <c r="C501" s="264">
        <f t="shared" si="155"/>
        <v>500</v>
      </c>
      <c r="D501" s="277" t="s">
        <v>1669</v>
      </c>
      <c r="E501" s="293">
        <f t="shared" si="174"/>
        <v>499</v>
      </c>
      <c r="F501" s="267" t="s">
        <v>63</v>
      </c>
      <c r="G501" s="267"/>
      <c r="H501" s="316">
        <v>18</v>
      </c>
      <c r="I501" s="316"/>
      <c r="J501" s="316">
        <v>1480</v>
      </c>
      <c r="K501" s="322" t="s">
        <v>1835</v>
      </c>
      <c r="L501" s="367" t="str">
        <f t="shared" si="180"/>
        <v>1480 lg</v>
      </c>
      <c r="M501" s="319">
        <v>1</v>
      </c>
      <c r="N501" s="296" t="s">
        <v>81</v>
      </c>
      <c r="O501" s="272">
        <v>1</v>
      </c>
      <c r="P501" s="296" t="s">
        <v>81</v>
      </c>
      <c r="Q501" s="273">
        <v>1</v>
      </c>
      <c r="R501" s="271" t="s">
        <v>41</v>
      </c>
      <c r="S501" s="290">
        <f t="shared" si="173"/>
        <v>1</v>
      </c>
      <c r="T501" s="275"/>
      <c r="U501" s="290">
        <f t="shared" si="175"/>
        <v>1</v>
      </c>
      <c r="V501" s="276" t="s">
        <v>48</v>
      </c>
    </row>
    <row r="502" spans="1:22" s="172" customFormat="1" ht="20.25" customHeight="1">
      <c r="A502" s="263">
        <f t="shared" si="171"/>
        <v>501</v>
      </c>
      <c r="B502" s="263" t="s">
        <v>1263</v>
      </c>
      <c r="C502" s="264">
        <f t="shared" si="155"/>
        <v>501</v>
      </c>
      <c r="D502" s="265" t="s">
        <v>1670</v>
      </c>
      <c r="E502" s="279"/>
      <c r="F502" s="267"/>
      <c r="G502" s="267"/>
      <c r="H502" s="268"/>
      <c r="I502" s="268"/>
      <c r="J502" s="269"/>
      <c r="K502" s="269"/>
      <c r="L502" s="269"/>
      <c r="M502" s="319"/>
      <c r="N502" s="271"/>
      <c r="O502" s="280"/>
      <c r="P502" s="271"/>
      <c r="Q502" s="281"/>
      <c r="R502" s="271"/>
      <c r="S502" s="312"/>
      <c r="T502" s="282"/>
      <c r="U502" s="312"/>
      <c r="V502" s="276"/>
    </row>
    <row r="503" spans="1:22" s="172" customFormat="1" ht="20.25" customHeight="1">
      <c r="A503" s="263">
        <f t="shared" si="171"/>
        <v>502</v>
      </c>
      <c r="B503" s="263" t="s">
        <v>1263</v>
      </c>
      <c r="C503" s="264">
        <f t="shared" si="155"/>
        <v>502</v>
      </c>
      <c r="D503" s="265" t="s">
        <v>1671</v>
      </c>
      <c r="E503" s="279">
        <v>7</v>
      </c>
      <c r="F503" s="267"/>
      <c r="G503" s="267"/>
      <c r="H503" s="268"/>
      <c r="I503" s="268"/>
      <c r="J503" s="269"/>
      <c r="K503" s="269"/>
      <c r="L503" s="269"/>
      <c r="M503" s="319">
        <v>1</v>
      </c>
      <c r="N503" s="296" t="s">
        <v>81</v>
      </c>
      <c r="O503" s="272">
        <v>1</v>
      </c>
      <c r="P503" s="296" t="s">
        <v>81</v>
      </c>
      <c r="Q503" s="273">
        <v>4</v>
      </c>
      <c r="R503" s="271" t="s">
        <v>41</v>
      </c>
      <c r="S503" s="290">
        <f t="shared" si="173"/>
        <v>4</v>
      </c>
      <c r="T503" s="275"/>
      <c r="U503" s="290">
        <f t="shared" si="175"/>
        <v>4</v>
      </c>
      <c r="V503" s="276" t="s">
        <v>48</v>
      </c>
    </row>
    <row r="504" spans="1:22" s="172" customFormat="1" ht="20.25" customHeight="1">
      <c r="A504" s="263" t="str">
        <f t="shared" si="171"/>
        <v/>
      </c>
      <c r="B504" s="263"/>
      <c r="C504" s="264">
        <f t="shared" si="155"/>
        <v>503</v>
      </c>
      <c r="D504" s="277" t="s">
        <v>1672</v>
      </c>
      <c r="E504" s="293"/>
      <c r="F504" s="267" t="s">
        <v>37</v>
      </c>
      <c r="G504" s="267"/>
      <c r="H504" s="316">
        <v>18</v>
      </c>
      <c r="I504" s="316"/>
      <c r="J504" s="316">
        <v>373</v>
      </c>
      <c r="K504" s="322" t="s">
        <v>1831</v>
      </c>
      <c r="L504" s="367" t="str">
        <f t="shared" ref="L504:L506" si="181">J504&amp;" "&amp;K504</f>
        <v>373 mm</v>
      </c>
      <c r="M504" s="319">
        <v>1</v>
      </c>
      <c r="N504" s="271" t="s">
        <v>81</v>
      </c>
      <c r="O504" s="297">
        <f>LEFT(L504,SEARCH(" ",L504,1)-1)*M504/1000</f>
        <v>0.373</v>
      </c>
      <c r="P504" s="271" t="s">
        <v>139</v>
      </c>
      <c r="Q504" s="324">
        <f>VLOOKUP(H504,BM!$B$3:$Y$62,2,FALSE)</f>
        <v>0.1</v>
      </c>
      <c r="R504" s="271" t="s">
        <v>47</v>
      </c>
      <c r="S504" s="290">
        <f t="shared" si="173"/>
        <v>3.73E-2</v>
      </c>
      <c r="T504" s="275">
        <v>1</v>
      </c>
      <c r="U504" s="290">
        <f t="shared" si="175"/>
        <v>1.04</v>
      </c>
      <c r="V504" s="276" t="s">
        <v>48</v>
      </c>
    </row>
    <row r="505" spans="1:22" s="172" customFormat="1" ht="20.25" customHeight="1">
      <c r="A505" s="263" t="str">
        <f t="shared" si="171"/>
        <v/>
      </c>
      <c r="B505" s="263"/>
      <c r="C505" s="264">
        <f t="shared" si="155"/>
        <v>504</v>
      </c>
      <c r="D505" s="277" t="s">
        <v>1673</v>
      </c>
      <c r="E505" s="293">
        <f t="shared" si="174"/>
        <v>503</v>
      </c>
      <c r="F505" s="267" t="s">
        <v>201</v>
      </c>
      <c r="G505" s="267"/>
      <c r="H505" s="316">
        <v>18</v>
      </c>
      <c r="I505" s="316"/>
      <c r="J505" s="316">
        <v>11300</v>
      </c>
      <c r="K505" s="322" t="s">
        <v>1831</v>
      </c>
      <c r="L505" s="367" t="str">
        <f t="shared" si="181"/>
        <v>11300 mm</v>
      </c>
      <c r="M505" s="319">
        <v>1</v>
      </c>
      <c r="N505" s="271" t="s">
        <v>81</v>
      </c>
      <c r="O505" s="297">
        <f t="shared" ref="O505:O509" si="182">LEFT(L505,SEARCH(" ",L505,1)-1)*M505/1000</f>
        <v>11.3</v>
      </c>
      <c r="P505" s="271" t="s">
        <v>139</v>
      </c>
      <c r="Q505" s="324">
        <f>VLOOKUP(H505,BM!$B$3:$Y$62,3,FALSE)</f>
        <v>0.25</v>
      </c>
      <c r="R505" s="271" t="s">
        <v>47</v>
      </c>
      <c r="S505" s="290">
        <f t="shared" si="173"/>
        <v>2.8250000000000002</v>
      </c>
      <c r="T505" s="275">
        <v>1</v>
      </c>
      <c r="U505" s="290">
        <f t="shared" si="175"/>
        <v>3.83</v>
      </c>
      <c r="V505" s="276" t="s">
        <v>48</v>
      </c>
    </row>
    <row r="506" spans="1:22" s="172" customFormat="1" ht="20.25" customHeight="1">
      <c r="A506" s="263" t="str">
        <f t="shared" si="171"/>
        <v/>
      </c>
      <c r="B506" s="263"/>
      <c r="C506" s="264">
        <f t="shared" si="155"/>
        <v>505</v>
      </c>
      <c r="D506" s="277" t="s">
        <v>1674</v>
      </c>
      <c r="E506" s="293">
        <f t="shared" si="174"/>
        <v>504</v>
      </c>
      <c r="F506" s="267" t="s">
        <v>52</v>
      </c>
      <c r="G506" s="267"/>
      <c r="H506" s="316">
        <v>18</v>
      </c>
      <c r="I506" s="316"/>
      <c r="J506" s="317">
        <f t="shared" ref="J506" si="183">J505</f>
        <v>11300</v>
      </c>
      <c r="K506" s="317" t="str">
        <f t="shared" ref="K506:L509" si="184">K505</f>
        <v>mm</v>
      </c>
      <c r="L506" s="367" t="str">
        <f t="shared" si="181"/>
        <v>11300 mm</v>
      </c>
      <c r="M506" s="319">
        <v>1</v>
      </c>
      <c r="N506" s="271" t="s">
        <v>81</v>
      </c>
      <c r="O506" s="297">
        <f t="shared" si="182"/>
        <v>11.3</v>
      </c>
      <c r="P506" s="271" t="s">
        <v>139</v>
      </c>
      <c r="Q506" s="324">
        <f>VLOOKUP(H506,BM!$B$3:$Y$62,4,FALSE)</f>
        <v>0.15</v>
      </c>
      <c r="R506" s="271" t="s">
        <v>47</v>
      </c>
      <c r="S506" s="290">
        <f t="shared" si="173"/>
        <v>1.6950000000000001</v>
      </c>
      <c r="T506" s="275">
        <v>1</v>
      </c>
      <c r="U506" s="290">
        <f t="shared" si="175"/>
        <v>2.7</v>
      </c>
      <c r="V506" s="276" t="s">
        <v>48</v>
      </c>
    </row>
    <row r="507" spans="1:22" s="172" customFormat="1" ht="20.25" customHeight="1">
      <c r="A507" s="263" t="str">
        <f t="shared" si="171"/>
        <v/>
      </c>
      <c r="B507" s="263"/>
      <c r="C507" s="264">
        <f t="shared" si="155"/>
        <v>506</v>
      </c>
      <c r="D507" s="277" t="s">
        <v>1675</v>
      </c>
      <c r="E507" s="293">
        <f t="shared" si="174"/>
        <v>505</v>
      </c>
      <c r="F507" s="267" t="s">
        <v>61</v>
      </c>
      <c r="G507" s="267"/>
      <c r="H507" s="316">
        <v>18</v>
      </c>
      <c r="I507" s="316"/>
      <c r="J507" s="317">
        <f t="shared" ref="J507" si="185">J506</f>
        <v>11300</v>
      </c>
      <c r="K507" s="317" t="str">
        <f t="shared" si="184"/>
        <v>mm</v>
      </c>
      <c r="L507" s="367" t="str">
        <f t="shared" ref="L507" si="186">J507&amp;" "&amp;K507</f>
        <v>11300 mm</v>
      </c>
      <c r="M507" s="319">
        <v>1</v>
      </c>
      <c r="N507" s="271" t="s">
        <v>81</v>
      </c>
      <c r="O507" s="297">
        <f t="shared" si="182"/>
        <v>11.3</v>
      </c>
      <c r="P507" s="271" t="s">
        <v>139</v>
      </c>
      <c r="Q507" s="324">
        <f>VLOOKUP(H507,BM!$B$3:$Y$62,5,FALSE)</f>
        <v>0.5</v>
      </c>
      <c r="R507" s="271" t="s">
        <v>47</v>
      </c>
      <c r="S507" s="290">
        <f t="shared" si="173"/>
        <v>5.65</v>
      </c>
      <c r="T507" s="275">
        <v>1</v>
      </c>
      <c r="U507" s="290">
        <f t="shared" si="175"/>
        <v>6.65</v>
      </c>
      <c r="V507" s="276" t="s">
        <v>48</v>
      </c>
    </row>
    <row r="508" spans="1:22" s="172" customFormat="1" ht="20.25" customHeight="1">
      <c r="A508" s="263" t="str">
        <f t="shared" si="171"/>
        <v/>
      </c>
      <c r="B508" s="263"/>
      <c r="C508" s="264">
        <f t="shared" si="155"/>
        <v>507</v>
      </c>
      <c r="D508" s="277" t="s">
        <v>1676</v>
      </c>
      <c r="E508" s="293">
        <f t="shared" si="174"/>
        <v>506</v>
      </c>
      <c r="F508" s="267" t="s">
        <v>224</v>
      </c>
      <c r="G508" s="267"/>
      <c r="H508" s="316">
        <v>18</v>
      </c>
      <c r="I508" s="316"/>
      <c r="J508" s="317">
        <f t="shared" ref="J508" si="187">J507</f>
        <v>11300</v>
      </c>
      <c r="K508" s="317" t="str">
        <f t="shared" si="184"/>
        <v>mm</v>
      </c>
      <c r="L508" s="367" t="str">
        <f t="shared" ref="L508" si="188">J508&amp;" "&amp;K508</f>
        <v>11300 mm</v>
      </c>
      <c r="M508" s="319">
        <v>1</v>
      </c>
      <c r="N508" s="271" t="s">
        <v>81</v>
      </c>
      <c r="O508" s="297">
        <f t="shared" si="182"/>
        <v>11.3</v>
      </c>
      <c r="P508" s="271" t="s">
        <v>139</v>
      </c>
      <c r="Q508" s="324">
        <f>VLOOKUP(H508,BM!$B$3:$Y$62,6,FALSE)</f>
        <v>1</v>
      </c>
      <c r="R508" s="271" t="s">
        <v>47</v>
      </c>
      <c r="S508" s="290">
        <f t="shared" si="173"/>
        <v>11.3</v>
      </c>
      <c r="T508" s="275">
        <v>1</v>
      </c>
      <c r="U508" s="290">
        <f t="shared" si="175"/>
        <v>12.3</v>
      </c>
      <c r="V508" s="276" t="s">
        <v>48</v>
      </c>
    </row>
    <row r="509" spans="1:22" s="172" customFormat="1" ht="20.25" customHeight="1">
      <c r="A509" s="263" t="str">
        <f t="shared" si="171"/>
        <v/>
      </c>
      <c r="B509" s="263"/>
      <c r="C509" s="264">
        <f t="shared" si="155"/>
        <v>508</v>
      </c>
      <c r="D509" s="277" t="s">
        <v>1593</v>
      </c>
      <c r="E509" s="293">
        <f t="shared" si="174"/>
        <v>507</v>
      </c>
      <c r="F509" s="267" t="s">
        <v>61</v>
      </c>
      <c r="G509" s="267"/>
      <c r="H509" s="316">
        <v>18</v>
      </c>
      <c r="I509" s="316"/>
      <c r="J509" s="317">
        <f t="shared" ref="J509" si="189">J508</f>
        <v>11300</v>
      </c>
      <c r="K509" s="317" t="str">
        <f t="shared" si="184"/>
        <v>mm</v>
      </c>
      <c r="L509" s="367" t="str">
        <f t="shared" ref="L509" si="190">J509&amp;" "&amp;K509</f>
        <v>11300 mm</v>
      </c>
      <c r="M509" s="319">
        <v>1</v>
      </c>
      <c r="N509" s="271" t="s">
        <v>81</v>
      </c>
      <c r="O509" s="297">
        <f t="shared" si="182"/>
        <v>11.3</v>
      </c>
      <c r="P509" s="271" t="s">
        <v>139</v>
      </c>
      <c r="Q509" s="324">
        <f>VLOOKUP(H509,BM!$B$3:$Y$62,6,FALSE)</f>
        <v>1</v>
      </c>
      <c r="R509" s="271" t="s">
        <v>47</v>
      </c>
      <c r="S509" s="290">
        <f t="shared" si="173"/>
        <v>11.3</v>
      </c>
      <c r="T509" s="275">
        <v>1</v>
      </c>
      <c r="U509" s="290">
        <f t="shared" si="175"/>
        <v>12.3</v>
      </c>
      <c r="V509" s="276" t="s">
        <v>48</v>
      </c>
    </row>
    <row r="510" spans="1:22" s="172" customFormat="1" ht="20.25" customHeight="1">
      <c r="A510" s="263">
        <f t="shared" si="171"/>
        <v>509</v>
      </c>
      <c r="B510" s="263" t="s">
        <v>1263</v>
      </c>
      <c r="C510" s="264">
        <f t="shared" si="155"/>
        <v>509</v>
      </c>
      <c r="D510" s="265" t="s">
        <v>1677</v>
      </c>
      <c r="E510" s="279">
        <f>A503</f>
        <v>502</v>
      </c>
      <c r="F510" s="267"/>
      <c r="G510" s="267"/>
      <c r="H510" s="268"/>
      <c r="I510" s="268"/>
      <c r="J510" s="269"/>
      <c r="K510" s="269"/>
      <c r="L510" s="269"/>
      <c r="M510" s="319"/>
      <c r="N510" s="271"/>
      <c r="O510" s="280"/>
      <c r="P510" s="271"/>
      <c r="Q510" s="281"/>
      <c r="R510" s="271"/>
      <c r="S510" s="312"/>
      <c r="T510" s="282"/>
      <c r="U510" s="312"/>
      <c r="V510" s="276"/>
    </row>
    <row r="511" spans="1:22" s="172" customFormat="1" ht="20.25" customHeight="1">
      <c r="A511" s="263" t="str">
        <f t="shared" si="171"/>
        <v/>
      </c>
      <c r="B511" s="263"/>
      <c r="C511" s="264">
        <f t="shared" si="155"/>
        <v>510</v>
      </c>
      <c r="D511" s="277" t="s">
        <v>1678</v>
      </c>
      <c r="E511" s="293"/>
      <c r="F511" s="267" t="s">
        <v>286</v>
      </c>
      <c r="G511" s="267"/>
      <c r="H511" s="308">
        <f>H509</f>
        <v>18</v>
      </c>
      <c r="I511" s="308"/>
      <c r="J511" s="315">
        <v>1664</v>
      </c>
      <c r="K511" s="294" t="s">
        <v>1833</v>
      </c>
      <c r="L511" s="367" t="str">
        <f>J511&amp;" "&amp;K511</f>
        <v>1664 mm id</v>
      </c>
      <c r="M511" s="319">
        <v>1</v>
      </c>
      <c r="N511" s="271" t="s">
        <v>81</v>
      </c>
      <c r="O511" s="272">
        <v>1</v>
      </c>
      <c r="P511" s="271" t="s">
        <v>139</v>
      </c>
      <c r="Q511" s="273">
        <v>3</v>
      </c>
      <c r="R511" s="271" t="s">
        <v>112</v>
      </c>
      <c r="S511" s="290">
        <f t="shared" si="173"/>
        <v>3</v>
      </c>
      <c r="T511" s="275">
        <v>1</v>
      </c>
      <c r="U511" s="290">
        <f t="shared" si="175"/>
        <v>4</v>
      </c>
      <c r="V511" s="276" t="s">
        <v>48</v>
      </c>
    </row>
    <row r="512" spans="1:22" s="172" customFormat="1" ht="20.25" customHeight="1">
      <c r="A512" s="263" t="str">
        <f t="shared" si="171"/>
        <v/>
      </c>
      <c r="B512" s="263"/>
      <c r="C512" s="264">
        <f t="shared" si="155"/>
        <v>511</v>
      </c>
      <c r="D512" s="277" t="s">
        <v>1679</v>
      </c>
      <c r="E512" s="293">
        <f t="shared" si="174"/>
        <v>510</v>
      </c>
      <c r="F512" s="267" t="s">
        <v>420</v>
      </c>
      <c r="G512" s="267"/>
      <c r="H512" s="308">
        <f t="shared" ref="H512:H514" si="191">H511</f>
        <v>18</v>
      </c>
      <c r="I512" s="308"/>
      <c r="J512" s="308">
        <f t="shared" ref="J512:K512" si="192">J511</f>
        <v>1664</v>
      </c>
      <c r="K512" s="308" t="str">
        <f t="shared" si="192"/>
        <v>mm id</v>
      </c>
      <c r="L512" s="367" t="str">
        <f t="shared" ref="L512" si="193">J512&amp;" "&amp;K512</f>
        <v>1664 mm id</v>
      </c>
      <c r="M512" s="319">
        <v>1</v>
      </c>
      <c r="N512" s="271" t="s">
        <v>81</v>
      </c>
      <c r="O512" s="297">
        <f>LEFT(L512,SEARCH(" ",L512,1)-1)*M512*2/1000</f>
        <v>3.3279999999999998</v>
      </c>
      <c r="P512" s="296" t="s">
        <v>81</v>
      </c>
      <c r="Q512" s="324">
        <f>VLOOKUP(H512,BM!$B$3:$Y$62,8,FALSE)</f>
        <v>0.3</v>
      </c>
      <c r="R512" s="271" t="s">
        <v>112</v>
      </c>
      <c r="S512" s="290">
        <f t="shared" si="173"/>
        <v>0.99839999999999995</v>
      </c>
      <c r="T512" s="275">
        <v>1</v>
      </c>
      <c r="U512" s="290">
        <f t="shared" si="175"/>
        <v>2</v>
      </c>
      <c r="V512" s="276" t="s">
        <v>48</v>
      </c>
    </row>
    <row r="513" spans="1:22" s="172" customFormat="1" ht="20.25" customHeight="1">
      <c r="A513" s="263" t="str">
        <f t="shared" si="171"/>
        <v/>
      </c>
      <c r="B513" s="263"/>
      <c r="C513" s="264">
        <f t="shared" si="155"/>
        <v>512</v>
      </c>
      <c r="D513" s="277" t="s">
        <v>1680</v>
      </c>
      <c r="E513" s="293">
        <f t="shared" si="174"/>
        <v>511</v>
      </c>
      <c r="F513" s="267" t="s">
        <v>348</v>
      </c>
      <c r="G513" s="267"/>
      <c r="H513" s="308">
        <f t="shared" si="191"/>
        <v>18</v>
      </c>
      <c r="I513" s="308"/>
      <c r="J513" s="308">
        <f t="shared" ref="J513:K513" si="194">J512</f>
        <v>1664</v>
      </c>
      <c r="K513" s="308" t="str">
        <f t="shared" si="194"/>
        <v>mm id</v>
      </c>
      <c r="L513" s="367" t="str">
        <f t="shared" ref="L513" si="195">J513&amp;" "&amp;K513</f>
        <v>1664 mm id</v>
      </c>
      <c r="M513" s="319">
        <v>1</v>
      </c>
      <c r="N513" s="271" t="s">
        <v>81</v>
      </c>
      <c r="O513" s="297">
        <f>LEFT(L513,SEARCH(" ",L513,1)-1)*M513*2/1000</f>
        <v>3.3279999999999998</v>
      </c>
      <c r="P513" s="271" t="s">
        <v>139</v>
      </c>
      <c r="Q513" s="324">
        <f>VLOOKUP(H513,BM!$B$3:$Y$62,9,FALSE)</f>
        <v>1</v>
      </c>
      <c r="R513" s="271" t="s">
        <v>112</v>
      </c>
      <c r="S513" s="290">
        <f t="shared" si="173"/>
        <v>3.3279999999999998</v>
      </c>
      <c r="T513" s="275">
        <v>1</v>
      </c>
      <c r="U513" s="290">
        <f t="shared" si="175"/>
        <v>4.33</v>
      </c>
      <c r="V513" s="276" t="s">
        <v>48</v>
      </c>
    </row>
    <row r="514" spans="1:22" s="172" customFormat="1" ht="20.25" customHeight="1">
      <c r="A514" s="263" t="str">
        <f t="shared" si="171"/>
        <v/>
      </c>
      <c r="B514" s="263"/>
      <c r="C514" s="264">
        <f t="shared" si="155"/>
        <v>513</v>
      </c>
      <c r="D514" s="277" t="s">
        <v>1681</v>
      </c>
      <c r="E514" s="293">
        <f t="shared" si="174"/>
        <v>512</v>
      </c>
      <c r="F514" s="267" t="s">
        <v>286</v>
      </c>
      <c r="G514" s="267"/>
      <c r="H514" s="308">
        <f t="shared" si="191"/>
        <v>18</v>
      </c>
      <c r="I514" s="308"/>
      <c r="J514" s="308">
        <f t="shared" ref="J514:K514" si="196">J513</f>
        <v>1664</v>
      </c>
      <c r="K514" s="308" t="str">
        <f t="shared" si="196"/>
        <v>mm id</v>
      </c>
      <c r="L514" s="367" t="str">
        <f t="shared" ref="L514" si="197">J514&amp;" "&amp;K514</f>
        <v>1664 mm id</v>
      </c>
      <c r="M514" s="319">
        <v>1</v>
      </c>
      <c r="N514" s="271" t="s">
        <v>81</v>
      </c>
      <c r="O514" s="305">
        <v>1</v>
      </c>
      <c r="P514" s="296" t="s">
        <v>81</v>
      </c>
      <c r="Q514" s="273">
        <v>3</v>
      </c>
      <c r="R514" s="271" t="s">
        <v>112</v>
      </c>
      <c r="S514" s="290">
        <f t="shared" si="173"/>
        <v>3</v>
      </c>
      <c r="T514" s="275">
        <v>1</v>
      </c>
      <c r="U514" s="290">
        <f t="shared" si="175"/>
        <v>4</v>
      </c>
      <c r="V514" s="276" t="s">
        <v>48</v>
      </c>
    </row>
    <row r="515" spans="1:22" s="172" customFormat="1" ht="20.25" customHeight="1">
      <c r="A515" s="263">
        <f t="shared" si="171"/>
        <v>514</v>
      </c>
      <c r="B515" s="263" t="s">
        <v>1263</v>
      </c>
      <c r="C515" s="264">
        <f t="shared" si="155"/>
        <v>514</v>
      </c>
      <c r="D515" s="265" t="s">
        <v>1682</v>
      </c>
      <c r="E515" s="279">
        <f>A510</f>
        <v>509</v>
      </c>
      <c r="F515" s="267"/>
      <c r="G515" s="267"/>
      <c r="H515" s="268"/>
      <c r="I515" s="268"/>
      <c r="J515" s="269"/>
      <c r="K515" s="269"/>
      <c r="L515" s="269"/>
      <c r="M515" s="319"/>
      <c r="N515" s="271"/>
      <c r="O515" s="280"/>
      <c r="P515" s="271"/>
      <c r="Q515" s="281"/>
      <c r="R515" s="271"/>
      <c r="S515" s="312"/>
      <c r="T515" s="282"/>
      <c r="U515" s="312"/>
      <c r="V515" s="276"/>
    </row>
    <row r="516" spans="1:22" s="172" customFormat="1" ht="20.25" customHeight="1">
      <c r="A516" s="263" t="str">
        <f t="shared" si="171"/>
        <v/>
      </c>
      <c r="B516" s="263"/>
      <c r="C516" s="264">
        <f t="shared" ref="C516:C579" si="198">C515+1</f>
        <v>515</v>
      </c>
      <c r="D516" s="277" t="s">
        <v>1683</v>
      </c>
      <c r="E516" s="293"/>
      <c r="F516" s="267" t="s">
        <v>348</v>
      </c>
      <c r="G516" s="267"/>
      <c r="H516" s="308">
        <f>H514</f>
        <v>18</v>
      </c>
      <c r="I516" s="308"/>
      <c r="J516" s="308">
        <f>J514</f>
        <v>1664</v>
      </c>
      <c r="K516" s="308" t="str">
        <f>K514</f>
        <v>mm id</v>
      </c>
      <c r="L516" s="367" t="str">
        <f t="shared" ref="L516" si="199">J516&amp;" "&amp;K516</f>
        <v>1664 mm id</v>
      </c>
      <c r="M516" s="319">
        <v>1</v>
      </c>
      <c r="N516" s="271" t="s">
        <v>81</v>
      </c>
      <c r="O516" s="297">
        <f t="shared" ref="O516" si="200">LEFT(L516,SEARCH(" ",L516,1)-1)*M516*2/1000</f>
        <v>3.3279999999999998</v>
      </c>
      <c r="P516" s="271" t="s">
        <v>139</v>
      </c>
      <c r="Q516" s="324">
        <f>VLOOKUP(H516,BM!$B$3:$Y$62,9,FALSE)</f>
        <v>1</v>
      </c>
      <c r="R516" s="271" t="s">
        <v>112</v>
      </c>
      <c r="S516" s="290">
        <f t="shared" si="173"/>
        <v>3.3279999999999998</v>
      </c>
      <c r="T516" s="275">
        <v>1</v>
      </c>
      <c r="U516" s="290">
        <f t="shared" si="175"/>
        <v>4.33</v>
      </c>
      <c r="V516" s="276" t="s">
        <v>48</v>
      </c>
    </row>
    <row r="517" spans="1:22" s="172" customFormat="1" ht="20.25" customHeight="1">
      <c r="A517" s="263" t="str">
        <f t="shared" si="171"/>
        <v/>
      </c>
      <c r="B517" s="263"/>
      <c r="C517" s="264">
        <f t="shared" si="198"/>
        <v>516</v>
      </c>
      <c r="D517" s="277" t="s">
        <v>1684</v>
      </c>
      <c r="E517" s="293">
        <f t="shared" si="174"/>
        <v>515</v>
      </c>
      <c r="F517" s="267" t="s">
        <v>111</v>
      </c>
      <c r="G517" s="267"/>
      <c r="H517" s="308">
        <f>H516</f>
        <v>18</v>
      </c>
      <c r="I517" s="308"/>
      <c r="J517" s="308">
        <f>J514</f>
        <v>1664</v>
      </c>
      <c r="K517" s="308" t="str">
        <f>K514</f>
        <v>mm id</v>
      </c>
      <c r="L517" s="367" t="str">
        <f t="shared" ref="L517" si="201">J517&amp;" "&amp;K517</f>
        <v>1664 mm id</v>
      </c>
      <c r="M517" s="319">
        <v>1</v>
      </c>
      <c r="N517" s="271" t="s">
        <v>81</v>
      </c>
      <c r="O517" s="297">
        <f>LEFT(L517,SEARCH(" ",L517,1)-1)*M517/1000</f>
        <v>1.6639999999999999</v>
      </c>
      <c r="P517" s="271" t="s">
        <v>139</v>
      </c>
      <c r="Q517" s="324">
        <f>VLOOKUP(H517,BM!$B$3:$Y$62,10,FALSE)</f>
        <v>1</v>
      </c>
      <c r="R517" s="271" t="s">
        <v>112</v>
      </c>
      <c r="S517" s="290">
        <f t="shared" si="173"/>
        <v>1.6639999999999999</v>
      </c>
      <c r="T517" s="275">
        <v>1</v>
      </c>
      <c r="U517" s="290">
        <f t="shared" si="175"/>
        <v>2.66</v>
      </c>
      <c r="V517" s="276" t="s">
        <v>48</v>
      </c>
    </row>
    <row r="518" spans="1:22" s="172" customFormat="1" ht="20.25" customHeight="1">
      <c r="A518" s="263">
        <f t="shared" si="171"/>
        <v>517</v>
      </c>
      <c r="B518" s="263" t="s">
        <v>1263</v>
      </c>
      <c r="C518" s="264">
        <f t="shared" si="198"/>
        <v>517</v>
      </c>
      <c r="D518" s="265" t="s">
        <v>1685</v>
      </c>
      <c r="E518" s="279">
        <f>A515</f>
        <v>514</v>
      </c>
      <c r="F518" s="267"/>
      <c r="G518" s="267"/>
      <c r="H518" s="268"/>
      <c r="I518" s="268"/>
      <c r="J518" s="269"/>
      <c r="K518" s="269"/>
      <c r="L518" s="269"/>
      <c r="M518" s="319"/>
      <c r="N518" s="271"/>
      <c r="O518" s="280"/>
      <c r="P518" s="271"/>
      <c r="Q518" s="281"/>
      <c r="R518" s="271"/>
      <c r="S518" s="312"/>
      <c r="T518" s="282"/>
      <c r="U518" s="312"/>
      <c r="V518" s="276"/>
    </row>
    <row r="519" spans="1:22" s="172" customFormat="1" ht="20.25" customHeight="1">
      <c r="A519" s="263" t="str">
        <f t="shared" si="171"/>
        <v/>
      </c>
      <c r="B519" s="263"/>
      <c r="C519" s="264">
        <f t="shared" si="198"/>
        <v>518</v>
      </c>
      <c r="D519" s="277" t="s">
        <v>1686</v>
      </c>
      <c r="E519" s="293"/>
      <c r="F519" s="267" t="s">
        <v>201</v>
      </c>
      <c r="G519" s="267"/>
      <c r="H519" s="308">
        <f>H517</f>
        <v>18</v>
      </c>
      <c r="I519" s="308"/>
      <c r="J519" s="308">
        <f t="shared" ref="J519" si="202">J517</f>
        <v>1664</v>
      </c>
      <c r="K519" s="308" t="str">
        <f t="shared" ref="K519:L519" si="203">K517</f>
        <v>mm id</v>
      </c>
      <c r="L519" s="367" t="str">
        <f t="shared" ref="L519" si="204">J519&amp;" "&amp;K519</f>
        <v>1664 mm id</v>
      </c>
      <c r="M519" s="319">
        <v>1</v>
      </c>
      <c r="N519" s="271" t="s">
        <v>81</v>
      </c>
      <c r="O519" s="272">
        <v>1</v>
      </c>
      <c r="P519" s="296" t="s">
        <v>81</v>
      </c>
      <c r="Q519" s="273">
        <v>1</v>
      </c>
      <c r="R519" s="271" t="s">
        <v>112</v>
      </c>
      <c r="S519" s="290">
        <f t="shared" si="173"/>
        <v>1</v>
      </c>
      <c r="T519" s="275">
        <v>1</v>
      </c>
      <c r="U519" s="290">
        <f t="shared" si="175"/>
        <v>2</v>
      </c>
      <c r="V519" s="276" t="s">
        <v>48</v>
      </c>
    </row>
    <row r="520" spans="1:22" s="172" customFormat="1" ht="20.25" customHeight="1">
      <c r="A520" s="263" t="str">
        <f t="shared" si="171"/>
        <v/>
      </c>
      <c r="B520" s="263"/>
      <c r="C520" s="264">
        <f t="shared" si="198"/>
        <v>519</v>
      </c>
      <c r="D520" s="277" t="s">
        <v>1687</v>
      </c>
      <c r="E520" s="293">
        <f t="shared" si="174"/>
        <v>518</v>
      </c>
      <c r="F520" s="267" t="s">
        <v>115</v>
      </c>
      <c r="G520" s="267"/>
      <c r="H520" s="316">
        <v>12</v>
      </c>
      <c r="I520" s="316"/>
      <c r="J520" s="308">
        <f t="shared" ref="J520" si="205">J519</f>
        <v>1664</v>
      </c>
      <c r="K520" s="308" t="str">
        <f t="shared" ref="K520:L524" si="206">K519</f>
        <v>mm id</v>
      </c>
      <c r="L520" s="367" t="str">
        <f t="shared" ref="L520" si="207">J520&amp;" "&amp;K520</f>
        <v>1664 mm id</v>
      </c>
      <c r="M520" s="319">
        <v>1</v>
      </c>
      <c r="N520" s="271" t="s">
        <v>81</v>
      </c>
      <c r="O520" s="297">
        <f t="shared" ref="O520:O523" si="208">LEFT(L520,SEARCH(" ",L520,1)-1)*M520/1000</f>
        <v>1.6639999999999999</v>
      </c>
      <c r="P520" s="271" t="s">
        <v>139</v>
      </c>
      <c r="Q520" s="324">
        <f>VLOOKUP(H520,BM!$B$3:$Y$62,12,FALSE)</f>
        <v>2.5</v>
      </c>
      <c r="R520" s="271" t="s">
        <v>112</v>
      </c>
      <c r="S520" s="290">
        <f t="shared" si="173"/>
        <v>4.16</v>
      </c>
      <c r="T520" s="275">
        <v>1</v>
      </c>
      <c r="U520" s="290">
        <f t="shared" si="175"/>
        <v>5.16</v>
      </c>
      <c r="V520" s="276" t="s">
        <v>48</v>
      </c>
    </row>
    <row r="521" spans="1:22" s="172" customFormat="1" ht="20.25" customHeight="1">
      <c r="A521" s="263" t="str">
        <f t="shared" si="171"/>
        <v/>
      </c>
      <c r="B521" s="263"/>
      <c r="C521" s="264">
        <f t="shared" si="198"/>
        <v>520</v>
      </c>
      <c r="D521" s="277" t="s">
        <v>1688</v>
      </c>
      <c r="E521" s="293">
        <f t="shared" si="174"/>
        <v>519</v>
      </c>
      <c r="F521" s="267" t="s">
        <v>121</v>
      </c>
      <c r="G521" s="267"/>
      <c r="H521" s="316">
        <v>18</v>
      </c>
      <c r="I521" s="316"/>
      <c r="J521" s="308">
        <f t="shared" ref="J521" si="209">J520</f>
        <v>1664</v>
      </c>
      <c r="K521" s="308" t="str">
        <f t="shared" si="206"/>
        <v>mm id</v>
      </c>
      <c r="L521" s="367" t="str">
        <f t="shared" ref="L521" si="210">J521&amp;" "&amp;K521</f>
        <v>1664 mm id</v>
      </c>
      <c r="M521" s="319">
        <v>1</v>
      </c>
      <c r="N521" s="271" t="s">
        <v>81</v>
      </c>
      <c r="O521" s="297">
        <f t="shared" si="208"/>
        <v>1.6639999999999999</v>
      </c>
      <c r="P521" s="271" t="s">
        <v>139</v>
      </c>
      <c r="Q521" s="324">
        <f>VLOOKUP(H521,BM!$B$3:$Y$62,18,FALSE)</f>
        <v>1</v>
      </c>
      <c r="R521" s="271" t="s">
        <v>112</v>
      </c>
      <c r="S521" s="290">
        <f t="shared" si="173"/>
        <v>1.6639999999999999</v>
      </c>
      <c r="T521" s="275">
        <v>1</v>
      </c>
      <c r="U521" s="290">
        <f t="shared" si="175"/>
        <v>2.66</v>
      </c>
      <c r="V521" s="276" t="s">
        <v>48</v>
      </c>
    </row>
    <row r="522" spans="1:22" s="172" customFormat="1" ht="20.25" customHeight="1">
      <c r="A522" s="263" t="str">
        <f t="shared" si="171"/>
        <v/>
      </c>
      <c r="B522" s="263"/>
      <c r="C522" s="264">
        <f t="shared" si="198"/>
        <v>521</v>
      </c>
      <c r="D522" s="277" t="s">
        <v>1689</v>
      </c>
      <c r="E522" s="293">
        <f t="shared" si="174"/>
        <v>520</v>
      </c>
      <c r="F522" s="267" t="s">
        <v>115</v>
      </c>
      <c r="G522" s="267"/>
      <c r="H522" s="316">
        <v>6</v>
      </c>
      <c r="I522" s="316"/>
      <c r="J522" s="308">
        <f t="shared" ref="J522" si="211">J521</f>
        <v>1664</v>
      </c>
      <c r="K522" s="308" t="str">
        <f t="shared" si="206"/>
        <v>mm id</v>
      </c>
      <c r="L522" s="367" t="str">
        <f t="shared" ref="L522" si="212">J522&amp;" "&amp;K522</f>
        <v>1664 mm id</v>
      </c>
      <c r="M522" s="319">
        <v>1</v>
      </c>
      <c r="N522" s="271" t="s">
        <v>81</v>
      </c>
      <c r="O522" s="297">
        <f t="shared" si="208"/>
        <v>1.6639999999999999</v>
      </c>
      <c r="P522" s="271" t="s">
        <v>139</v>
      </c>
      <c r="Q522" s="324">
        <f>VLOOKUP(H522,BM!$B$3:$Y$62,12,FALSE)</f>
        <v>0.9</v>
      </c>
      <c r="R522" s="271" t="s">
        <v>112</v>
      </c>
      <c r="S522" s="290">
        <f t="shared" si="173"/>
        <v>1.4976</v>
      </c>
      <c r="T522" s="275">
        <v>1</v>
      </c>
      <c r="U522" s="290">
        <f t="shared" si="175"/>
        <v>2.5</v>
      </c>
      <c r="V522" s="276" t="s">
        <v>48</v>
      </c>
    </row>
    <row r="523" spans="1:22" s="172" customFormat="1" ht="20.25" customHeight="1">
      <c r="A523" s="263" t="str">
        <f t="shared" si="171"/>
        <v/>
      </c>
      <c r="B523" s="263"/>
      <c r="C523" s="264">
        <f t="shared" si="198"/>
        <v>522</v>
      </c>
      <c r="D523" s="277" t="s">
        <v>1690</v>
      </c>
      <c r="E523" s="293">
        <f t="shared" si="174"/>
        <v>521</v>
      </c>
      <c r="F523" s="267" t="s">
        <v>61</v>
      </c>
      <c r="G523" s="267"/>
      <c r="H523" s="316">
        <v>6</v>
      </c>
      <c r="I523" s="316"/>
      <c r="J523" s="308">
        <f t="shared" ref="J523" si="213">J522</f>
        <v>1664</v>
      </c>
      <c r="K523" s="308" t="str">
        <f t="shared" si="206"/>
        <v>mm id</v>
      </c>
      <c r="L523" s="367" t="str">
        <f t="shared" ref="L523" si="214">J523&amp;" "&amp;K523</f>
        <v>1664 mm id</v>
      </c>
      <c r="M523" s="319">
        <v>1</v>
      </c>
      <c r="N523" s="271" t="s">
        <v>81</v>
      </c>
      <c r="O523" s="297">
        <f t="shared" si="208"/>
        <v>1.6639999999999999</v>
      </c>
      <c r="P523" s="271" t="s">
        <v>139</v>
      </c>
      <c r="Q523" s="324">
        <f>VLOOKUP(H523,BM!$B$3:$Y$62,20,FALSE)</f>
        <v>0.5</v>
      </c>
      <c r="R523" s="271" t="s">
        <v>112</v>
      </c>
      <c r="S523" s="290">
        <f t="shared" si="173"/>
        <v>0.83199999999999996</v>
      </c>
      <c r="T523" s="275">
        <v>1</v>
      </c>
      <c r="U523" s="290">
        <f t="shared" si="175"/>
        <v>1.83</v>
      </c>
      <c r="V523" s="276" t="s">
        <v>48</v>
      </c>
    </row>
    <row r="524" spans="1:22" s="172" customFormat="1" ht="20.25" customHeight="1">
      <c r="A524" s="263" t="str">
        <f t="shared" si="171"/>
        <v/>
      </c>
      <c r="B524" s="263"/>
      <c r="C524" s="264">
        <f t="shared" si="198"/>
        <v>523</v>
      </c>
      <c r="D524" s="277" t="s">
        <v>1691</v>
      </c>
      <c r="E524" s="293">
        <f t="shared" si="174"/>
        <v>522</v>
      </c>
      <c r="F524" s="267" t="s">
        <v>286</v>
      </c>
      <c r="G524" s="267"/>
      <c r="H524" s="316">
        <v>18</v>
      </c>
      <c r="I524" s="316"/>
      <c r="J524" s="308">
        <f t="shared" ref="J524" si="215">J523</f>
        <v>1664</v>
      </c>
      <c r="K524" s="308" t="str">
        <f t="shared" si="206"/>
        <v>mm id</v>
      </c>
      <c r="L524" s="367" t="str">
        <f t="shared" ref="L524" si="216">J524&amp;" "&amp;K524</f>
        <v>1664 mm id</v>
      </c>
      <c r="M524" s="319">
        <v>1</v>
      </c>
      <c r="N524" s="271" t="s">
        <v>81</v>
      </c>
      <c r="O524" s="272">
        <v>1</v>
      </c>
      <c r="P524" s="271" t="s">
        <v>139</v>
      </c>
      <c r="Q524" s="273">
        <v>3</v>
      </c>
      <c r="R524" s="271" t="s">
        <v>112</v>
      </c>
      <c r="S524" s="290">
        <f t="shared" si="173"/>
        <v>3</v>
      </c>
      <c r="T524" s="275">
        <v>1</v>
      </c>
      <c r="U524" s="290">
        <f t="shared" si="175"/>
        <v>4</v>
      </c>
      <c r="V524" s="276" t="s">
        <v>48</v>
      </c>
    </row>
    <row r="525" spans="1:22" s="172" customFormat="1" ht="20.25" customHeight="1">
      <c r="A525" s="263">
        <f t="shared" si="171"/>
        <v>524</v>
      </c>
      <c r="B525" s="263" t="s">
        <v>1263</v>
      </c>
      <c r="C525" s="264">
        <f t="shared" si="198"/>
        <v>524</v>
      </c>
      <c r="D525" s="265" t="s">
        <v>1692</v>
      </c>
      <c r="E525" s="279"/>
      <c r="F525" s="267"/>
      <c r="G525" s="267"/>
      <c r="H525" s="268"/>
      <c r="I525" s="268"/>
      <c r="J525" s="269"/>
      <c r="K525" s="269"/>
      <c r="L525" s="269"/>
      <c r="M525" s="319"/>
      <c r="N525" s="271"/>
      <c r="O525" s="280"/>
      <c r="P525" s="271"/>
      <c r="Q525" s="281"/>
      <c r="R525" s="271"/>
      <c r="S525" s="312"/>
      <c r="T525" s="282"/>
      <c r="U525" s="312"/>
      <c r="V525" s="276"/>
    </row>
    <row r="526" spans="1:22" s="172" customFormat="1" ht="20.25" customHeight="1">
      <c r="A526" s="263" t="str">
        <f t="shared" si="171"/>
        <v/>
      </c>
      <c r="B526" s="263"/>
      <c r="C526" s="264">
        <f t="shared" si="198"/>
        <v>525</v>
      </c>
      <c r="D526" s="277" t="s">
        <v>1693</v>
      </c>
      <c r="E526" s="293"/>
      <c r="F526" s="267" t="s">
        <v>312</v>
      </c>
      <c r="G526" s="267"/>
      <c r="H526" s="308">
        <f>H524</f>
        <v>18</v>
      </c>
      <c r="I526" s="308"/>
      <c r="J526" s="308">
        <f t="shared" ref="J526:K526" si="217">J524</f>
        <v>1664</v>
      </c>
      <c r="K526" s="308" t="str">
        <f t="shared" si="217"/>
        <v>mm id</v>
      </c>
      <c r="L526" s="367" t="str">
        <f t="shared" ref="L526" si="218">J526&amp;" "&amp;K526</f>
        <v>1664 mm id</v>
      </c>
      <c r="M526" s="326">
        <f t="shared" ref="L526:O526" si="219">M524</f>
        <v>1</v>
      </c>
      <c r="N526" s="331" t="str">
        <f t="shared" si="219"/>
        <v>Nos</v>
      </c>
      <c r="O526" s="308">
        <f t="shared" si="219"/>
        <v>1</v>
      </c>
      <c r="P526" s="296" t="s">
        <v>81</v>
      </c>
      <c r="Q526" s="273">
        <v>1</v>
      </c>
      <c r="R526" s="271" t="s">
        <v>41</v>
      </c>
      <c r="S526" s="290">
        <f t="shared" si="173"/>
        <v>1</v>
      </c>
      <c r="T526" s="293"/>
      <c r="U526" s="290">
        <f t="shared" si="175"/>
        <v>1</v>
      </c>
      <c r="V526" s="276" t="s">
        <v>42</v>
      </c>
    </row>
    <row r="527" spans="1:22" s="172" customFormat="1" ht="20.25" customHeight="1">
      <c r="A527" s="263">
        <f t="shared" si="171"/>
        <v>526</v>
      </c>
      <c r="B527" s="263" t="s">
        <v>1263</v>
      </c>
      <c r="C527" s="264">
        <f t="shared" si="198"/>
        <v>526</v>
      </c>
      <c r="D527" s="265" t="s">
        <v>1694</v>
      </c>
      <c r="E527" s="279">
        <f>A525</f>
        <v>524</v>
      </c>
      <c r="F527" s="267"/>
      <c r="G527" s="267"/>
      <c r="H527" s="268"/>
      <c r="I527" s="268"/>
      <c r="J527" s="269"/>
      <c r="K527" s="269"/>
      <c r="L527" s="269"/>
      <c r="M527" s="319"/>
      <c r="N527" s="271"/>
      <c r="O527" s="280"/>
      <c r="P527" s="271"/>
      <c r="Q527" s="281"/>
      <c r="R527" s="271"/>
      <c r="S527" s="312"/>
      <c r="T527" s="282"/>
      <c r="U527" s="312"/>
      <c r="V527" s="276"/>
    </row>
    <row r="528" spans="1:22" s="172" customFormat="1" ht="20.25" customHeight="1">
      <c r="A528" s="263" t="str">
        <f t="shared" si="171"/>
        <v/>
      </c>
      <c r="B528" s="263"/>
      <c r="C528" s="264">
        <f t="shared" si="198"/>
        <v>527</v>
      </c>
      <c r="D528" s="277" t="s">
        <v>1695</v>
      </c>
      <c r="E528" s="293"/>
      <c r="F528" s="267" t="s">
        <v>348</v>
      </c>
      <c r="G528" s="267"/>
      <c r="H528" s="316">
        <v>18</v>
      </c>
      <c r="I528" s="316"/>
      <c r="J528" s="308">
        <f>J526</f>
        <v>1664</v>
      </c>
      <c r="K528" s="308" t="str">
        <f>K526</f>
        <v>mm id</v>
      </c>
      <c r="L528" s="367" t="str">
        <f t="shared" ref="L528" si="220">J528&amp;" "&amp;K528</f>
        <v>1664 mm id</v>
      </c>
      <c r="M528" s="319">
        <v>1</v>
      </c>
      <c r="N528" s="271" t="s">
        <v>81</v>
      </c>
      <c r="O528" s="297">
        <f>LEFT(L528,SEARCH(" ",L528,1)-1)*M528*3.142/1000</f>
        <v>5.2282879999999992</v>
      </c>
      <c r="P528" s="271" t="s">
        <v>139</v>
      </c>
      <c r="Q528" s="324">
        <f>VLOOKUP(H528,BM!$B$3:$Y$62,15,FALSE)</f>
        <v>1</v>
      </c>
      <c r="R528" s="271" t="s">
        <v>112</v>
      </c>
      <c r="S528" s="290">
        <f t="shared" si="173"/>
        <v>5.2282879999999992</v>
      </c>
      <c r="T528" s="275">
        <v>1</v>
      </c>
      <c r="U528" s="290">
        <f t="shared" si="175"/>
        <v>6.23</v>
      </c>
      <c r="V528" s="276" t="s">
        <v>48</v>
      </c>
    </row>
    <row r="529" spans="1:22" s="172" customFormat="1" ht="20.25" customHeight="1">
      <c r="A529" s="263" t="str">
        <f t="shared" si="171"/>
        <v/>
      </c>
      <c r="B529" s="263"/>
      <c r="C529" s="264">
        <f t="shared" si="198"/>
        <v>528</v>
      </c>
      <c r="D529" s="277" t="s">
        <v>1696</v>
      </c>
      <c r="E529" s="293">
        <f t="shared" si="174"/>
        <v>527</v>
      </c>
      <c r="F529" s="267" t="s">
        <v>111</v>
      </c>
      <c r="G529" s="267"/>
      <c r="H529" s="316">
        <v>18</v>
      </c>
      <c r="I529" s="316"/>
      <c r="J529" s="308">
        <f>J528</f>
        <v>1664</v>
      </c>
      <c r="K529" s="308" t="str">
        <f>K528</f>
        <v>mm id</v>
      </c>
      <c r="L529" s="367" t="str">
        <f t="shared" ref="L529" si="221">J529&amp;" "&amp;K529</f>
        <v>1664 mm id</v>
      </c>
      <c r="M529" s="319">
        <v>1</v>
      </c>
      <c r="N529" s="271" t="s">
        <v>81</v>
      </c>
      <c r="O529" s="297">
        <f>LEFT(L529,SEARCH(" ",L529,1)-1)*M529*3.142/1000</f>
        <v>5.2282879999999992</v>
      </c>
      <c r="P529" s="296" t="s">
        <v>81</v>
      </c>
      <c r="Q529" s="324">
        <f>VLOOKUP(H529,BM!$B$3:$Y$62,16,FALSE)</f>
        <v>1</v>
      </c>
      <c r="R529" s="271" t="s">
        <v>112</v>
      </c>
      <c r="S529" s="290">
        <f t="shared" si="173"/>
        <v>5.2282879999999992</v>
      </c>
      <c r="T529" s="275">
        <v>1</v>
      </c>
      <c r="U529" s="290">
        <f t="shared" si="175"/>
        <v>6.23</v>
      </c>
      <c r="V529" s="276" t="s">
        <v>48</v>
      </c>
    </row>
    <row r="530" spans="1:22" s="172" customFormat="1" ht="20.25" customHeight="1">
      <c r="A530" s="263" t="str">
        <f t="shared" si="171"/>
        <v/>
      </c>
      <c r="B530" s="263"/>
      <c r="C530" s="264">
        <f t="shared" si="198"/>
        <v>529</v>
      </c>
      <c r="D530" s="277" t="s">
        <v>1697</v>
      </c>
      <c r="E530" s="293">
        <f t="shared" si="174"/>
        <v>528</v>
      </c>
      <c r="F530" s="267" t="s">
        <v>44</v>
      </c>
      <c r="G530" s="267"/>
      <c r="H530" s="316">
        <v>18</v>
      </c>
      <c r="I530" s="316"/>
      <c r="J530" s="308">
        <f>J529</f>
        <v>1664</v>
      </c>
      <c r="K530" s="308" t="str">
        <f>K529</f>
        <v>mm id</v>
      </c>
      <c r="L530" s="367" t="str">
        <f t="shared" ref="L530" si="222">J530&amp;" "&amp;K530</f>
        <v>1664 mm id</v>
      </c>
      <c r="M530" s="319">
        <v>1</v>
      </c>
      <c r="N530" s="271" t="s">
        <v>81</v>
      </c>
      <c r="O530" s="297">
        <f t="shared" ref="O530" si="223">LEFT(L530,SEARCH(" ",L530,1)-1)*M530*3.142/1000</f>
        <v>5.2282879999999992</v>
      </c>
      <c r="P530" s="296" t="s">
        <v>81</v>
      </c>
      <c r="Q530" s="273">
        <v>0.25</v>
      </c>
      <c r="R530" s="271" t="s">
        <v>112</v>
      </c>
      <c r="S530" s="290">
        <f t="shared" si="173"/>
        <v>1.3070719999999998</v>
      </c>
      <c r="T530" s="275">
        <v>1</v>
      </c>
      <c r="U530" s="290">
        <f t="shared" si="175"/>
        <v>2.31</v>
      </c>
      <c r="V530" s="276" t="s">
        <v>48</v>
      </c>
    </row>
    <row r="531" spans="1:22" s="172" customFormat="1" ht="20.25" customHeight="1">
      <c r="A531" s="263">
        <f t="shared" si="171"/>
        <v>530</v>
      </c>
      <c r="B531" s="263" t="s">
        <v>1263</v>
      </c>
      <c r="C531" s="264">
        <f t="shared" si="198"/>
        <v>530</v>
      </c>
      <c r="D531" s="265" t="s">
        <v>1698</v>
      </c>
      <c r="E531" s="279">
        <f>A527</f>
        <v>526</v>
      </c>
      <c r="F531" s="267"/>
      <c r="G531" s="267"/>
      <c r="H531" s="268"/>
      <c r="I531" s="268"/>
      <c r="J531" s="269"/>
      <c r="K531" s="269"/>
      <c r="L531" s="269"/>
      <c r="M531" s="319"/>
      <c r="N531" s="271"/>
      <c r="O531" s="280"/>
      <c r="P531" s="271"/>
      <c r="Q531" s="281"/>
      <c r="R531" s="271"/>
      <c r="S531" s="312"/>
      <c r="T531" s="282"/>
      <c r="U531" s="312"/>
      <c r="V531" s="276"/>
    </row>
    <row r="532" spans="1:22" s="172" customFormat="1" ht="20.25" customHeight="1">
      <c r="A532" s="263" t="str">
        <f t="shared" si="171"/>
        <v/>
      </c>
      <c r="B532" s="263"/>
      <c r="C532" s="264">
        <f t="shared" si="198"/>
        <v>531</v>
      </c>
      <c r="D532" s="277" t="s">
        <v>1699</v>
      </c>
      <c r="E532" s="293"/>
      <c r="F532" s="267" t="s">
        <v>201</v>
      </c>
      <c r="G532" s="267"/>
      <c r="H532" s="316">
        <v>12</v>
      </c>
      <c r="I532" s="316"/>
      <c r="J532" s="308">
        <f>J530</f>
        <v>1664</v>
      </c>
      <c r="K532" s="308" t="str">
        <f>K530</f>
        <v>mm id</v>
      </c>
      <c r="L532" s="367" t="str">
        <f t="shared" ref="L532" si="224">J532&amp;" "&amp;K532</f>
        <v>1664 mm id</v>
      </c>
      <c r="M532" s="319">
        <v>1</v>
      </c>
      <c r="N532" s="271" t="s">
        <v>81</v>
      </c>
      <c r="O532" s="272">
        <v>1</v>
      </c>
      <c r="P532" s="271" t="s">
        <v>249</v>
      </c>
      <c r="Q532" s="273">
        <v>1</v>
      </c>
      <c r="R532" s="271" t="s">
        <v>112</v>
      </c>
      <c r="S532" s="290">
        <f t="shared" si="173"/>
        <v>1</v>
      </c>
      <c r="T532" s="275">
        <v>1</v>
      </c>
      <c r="U532" s="290">
        <f t="shared" si="175"/>
        <v>2</v>
      </c>
      <c r="V532" s="276" t="s">
        <v>48</v>
      </c>
    </row>
    <row r="533" spans="1:22" s="172" customFormat="1" ht="20.25" customHeight="1">
      <c r="A533" s="263" t="str">
        <f t="shared" si="171"/>
        <v/>
      </c>
      <c r="B533" s="263"/>
      <c r="C533" s="264">
        <f t="shared" si="198"/>
        <v>532</v>
      </c>
      <c r="D533" s="277" t="s">
        <v>1700</v>
      </c>
      <c r="E533" s="293">
        <f t="shared" si="174"/>
        <v>531</v>
      </c>
      <c r="F533" s="267" t="s">
        <v>115</v>
      </c>
      <c r="G533" s="267"/>
      <c r="H533" s="316">
        <v>12</v>
      </c>
      <c r="I533" s="316"/>
      <c r="J533" s="308">
        <f>J532</f>
        <v>1664</v>
      </c>
      <c r="K533" s="308" t="str">
        <f>K532</f>
        <v>mm id</v>
      </c>
      <c r="L533" s="367" t="str">
        <f t="shared" ref="L533" si="225">J533&amp;" "&amp;K533</f>
        <v>1664 mm id</v>
      </c>
      <c r="M533" s="319">
        <v>1</v>
      </c>
      <c r="N533" s="271" t="s">
        <v>81</v>
      </c>
      <c r="O533" s="297">
        <f t="shared" ref="O533:O536" si="226">LEFT(L533,SEARCH(" ",L533,1)-1)*M533*3.142/1000</f>
        <v>5.2282879999999992</v>
      </c>
      <c r="P533" s="271" t="s">
        <v>249</v>
      </c>
      <c r="Q533" s="324">
        <f>VLOOKUP(H533,BM!$B$3:$Y$62,17,FALSE)</f>
        <v>2.5</v>
      </c>
      <c r="R533" s="271" t="s">
        <v>112</v>
      </c>
      <c r="S533" s="290">
        <f t="shared" si="173"/>
        <v>13.070719999999998</v>
      </c>
      <c r="T533" s="275">
        <v>1</v>
      </c>
      <c r="U533" s="290">
        <f t="shared" si="175"/>
        <v>14.07</v>
      </c>
      <c r="V533" s="276" t="s">
        <v>48</v>
      </c>
    </row>
    <row r="534" spans="1:22" s="172" customFormat="1" ht="20.25" customHeight="1">
      <c r="A534" s="263" t="str">
        <f t="shared" si="171"/>
        <v/>
      </c>
      <c r="B534" s="263"/>
      <c r="C534" s="264">
        <f t="shared" si="198"/>
        <v>533</v>
      </c>
      <c r="D534" s="277" t="s">
        <v>1701</v>
      </c>
      <c r="E534" s="293">
        <f t="shared" si="174"/>
        <v>532</v>
      </c>
      <c r="F534" s="267" t="s">
        <v>61</v>
      </c>
      <c r="G534" s="267"/>
      <c r="H534" s="316">
        <v>18</v>
      </c>
      <c r="I534" s="316"/>
      <c r="J534" s="308">
        <f t="shared" ref="J534" si="227">J532</f>
        <v>1664</v>
      </c>
      <c r="K534" s="308" t="str">
        <f t="shared" ref="K534:L536" si="228">K532</f>
        <v>mm id</v>
      </c>
      <c r="L534" s="367" t="str">
        <f t="shared" ref="L534" si="229">J534&amp;" "&amp;K534</f>
        <v>1664 mm id</v>
      </c>
      <c r="M534" s="319">
        <v>1</v>
      </c>
      <c r="N534" s="271" t="s">
        <v>81</v>
      </c>
      <c r="O534" s="297">
        <f t="shared" si="226"/>
        <v>5.2282879999999992</v>
      </c>
      <c r="P534" s="271" t="s">
        <v>249</v>
      </c>
      <c r="Q534" s="324">
        <f>VLOOKUP(H534,BM!$B$3:$Y$62,18,FALSE)</f>
        <v>1</v>
      </c>
      <c r="R534" s="271" t="s">
        <v>112</v>
      </c>
      <c r="S534" s="290">
        <f t="shared" si="173"/>
        <v>5.2282879999999992</v>
      </c>
      <c r="T534" s="275">
        <v>1</v>
      </c>
      <c r="U534" s="290">
        <f t="shared" si="175"/>
        <v>6.23</v>
      </c>
      <c r="V534" s="276" t="s">
        <v>48</v>
      </c>
    </row>
    <row r="535" spans="1:22" s="172" customFormat="1" ht="20.25" customHeight="1">
      <c r="A535" s="263" t="str">
        <f t="shared" si="171"/>
        <v/>
      </c>
      <c r="B535" s="263"/>
      <c r="C535" s="264">
        <f t="shared" si="198"/>
        <v>534</v>
      </c>
      <c r="D535" s="277" t="s">
        <v>1702</v>
      </c>
      <c r="E535" s="293">
        <f t="shared" si="174"/>
        <v>533</v>
      </c>
      <c r="F535" s="267" t="s">
        <v>115</v>
      </c>
      <c r="G535" s="267"/>
      <c r="H535" s="316">
        <v>6</v>
      </c>
      <c r="I535" s="316"/>
      <c r="J535" s="308">
        <f t="shared" ref="J535" si="230">J533</f>
        <v>1664</v>
      </c>
      <c r="K535" s="308" t="str">
        <f t="shared" si="228"/>
        <v>mm id</v>
      </c>
      <c r="L535" s="367" t="str">
        <f t="shared" ref="L535" si="231">J535&amp;" "&amp;K535</f>
        <v>1664 mm id</v>
      </c>
      <c r="M535" s="319">
        <v>1</v>
      </c>
      <c r="N535" s="271" t="s">
        <v>81</v>
      </c>
      <c r="O535" s="297">
        <f t="shared" si="226"/>
        <v>5.2282879999999992</v>
      </c>
      <c r="P535" s="271" t="s">
        <v>249</v>
      </c>
      <c r="Q535" s="324">
        <f>VLOOKUP(H535,BM!$B$3:$Y$62,17,FALSE)</f>
        <v>0.9</v>
      </c>
      <c r="R535" s="271" t="s">
        <v>112</v>
      </c>
      <c r="S535" s="290">
        <f t="shared" si="173"/>
        <v>4.7054591999999991</v>
      </c>
      <c r="T535" s="275">
        <v>1</v>
      </c>
      <c r="U535" s="290">
        <f t="shared" si="175"/>
        <v>5.71</v>
      </c>
      <c r="V535" s="276" t="s">
        <v>48</v>
      </c>
    </row>
    <row r="536" spans="1:22" s="172" customFormat="1" ht="20.25" customHeight="1">
      <c r="A536" s="263" t="str">
        <f t="shared" si="171"/>
        <v/>
      </c>
      <c r="B536" s="263"/>
      <c r="C536" s="264">
        <f t="shared" si="198"/>
        <v>535</v>
      </c>
      <c r="D536" s="277" t="s">
        <v>1703</v>
      </c>
      <c r="E536" s="293">
        <f t="shared" si="174"/>
        <v>534</v>
      </c>
      <c r="F536" s="267" t="s">
        <v>61</v>
      </c>
      <c r="G536" s="267"/>
      <c r="H536" s="316">
        <v>18</v>
      </c>
      <c r="I536" s="316"/>
      <c r="J536" s="308">
        <f t="shared" ref="J536" si="232">J534</f>
        <v>1664</v>
      </c>
      <c r="K536" s="308" t="str">
        <f t="shared" si="228"/>
        <v>mm id</v>
      </c>
      <c r="L536" s="367" t="str">
        <f t="shared" ref="L536" si="233">J536&amp;" "&amp;K536</f>
        <v>1664 mm id</v>
      </c>
      <c r="M536" s="319">
        <v>1</v>
      </c>
      <c r="N536" s="271" t="s">
        <v>81</v>
      </c>
      <c r="O536" s="297">
        <f t="shared" si="226"/>
        <v>5.2282879999999992</v>
      </c>
      <c r="P536" s="271" t="s">
        <v>249</v>
      </c>
      <c r="Q536" s="324">
        <f>VLOOKUP(H536,BM!$B$3:$Y$62,20,FALSE)</f>
        <v>0.5</v>
      </c>
      <c r="R536" s="271" t="s">
        <v>112</v>
      </c>
      <c r="S536" s="290">
        <f t="shared" si="173"/>
        <v>2.6141439999999996</v>
      </c>
      <c r="T536" s="275">
        <v>1</v>
      </c>
      <c r="U536" s="290">
        <f t="shared" si="175"/>
        <v>3.61</v>
      </c>
      <c r="V536" s="276" t="s">
        <v>48</v>
      </c>
    </row>
    <row r="537" spans="1:22" s="172" customFormat="1" ht="20.25" customHeight="1">
      <c r="A537" s="263">
        <f t="shared" si="171"/>
        <v>536</v>
      </c>
      <c r="B537" s="263" t="s">
        <v>1263</v>
      </c>
      <c r="C537" s="264">
        <f t="shared" si="198"/>
        <v>536</v>
      </c>
      <c r="D537" s="265" t="s">
        <v>1704</v>
      </c>
      <c r="E537" s="279">
        <f>A531</f>
        <v>530</v>
      </c>
      <c r="F537" s="267"/>
      <c r="G537" s="267"/>
      <c r="H537" s="268"/>
      <c r="I537" s="268"/>
      <c r="J537" s="269"/>
      <c r="K537" s="269"/>
      <c r="L537" s="269"/>
      <c r="M537" s="319"/>
      <c r="N537" s="271"/>
      <c r="O537" s="272"/>
      <c r="P537" s="271"/>
      <c r="Q537" s="273"/>
      <c r="R537" s="271"/>
      <c r="S537" s="290">
        <f t="shared" si="173"/>
        <v>0</v>
      </c>
      <c r="T537" s="275"/>
      <c r="U537" s="307"/>
      <c r="V537" s="276"/>
    </row>
    <row r="538" spans="1:22" s="172" customFormat="1" ht="20.25" customHeight="1">
      <c r="A538" s="263" t="str">
        <f t="shared" si="171"/>
        <v/>
      </c>
      <c r="B538" s="263"/>
      <c r="C538" s="264">
        <f t="shared" si="198"/>
        <v>537</v>
      </c>
      <c r="D538" s="277" t="s">
        <v>1705</v>
      </c>
      <c r="E538" s="293">
        <f t="shared" si="174"/>
        <v>536</v>
      </c>
      <c r="F538" s="267" t="s">
        <v>52</v>
      </c>
      <c r="G538" s="267"/>
      <c r="H538" s="316">
        <v>18</v>
      </c>
      <c r="I538" s="316"/>
      <c r="J538" s="308">
        <f>J536</f>
        <v>1664</v>
      </c>
      <c r="K538" s="308" t="str">
        <f>K536</f>
        <v>mm id</v>
      </c>
      <c r="L538" s="367" t="str">
        <f t="shared" ref="L538" si="234">J538&amp;" "&amp;K538</f>
        <v>1664 mm id</v>
      </c>
      <c r="M538" s="319">
        <v>1</v>
      </c>
      <c r="N538" s="271" t="s">
        <v>81</v>
      </c>
      <c r="O538" s="297">
        <f t="shared" ref="O538:O541" si="235">LEFT(L538,SEARCH(" ",L538,1)-1)*M538*3.142/1000</f>
        <v>5.2282879999999992</v>
      </c>
      <c r="P538" s="271" t="s">
        <v>139</v>
      </c>
      <c r="Q538" s="324">
        <f>VLOOKUP(H538,BM!$B$3:$Y$62,10,FALSE)</f>
        <v>1</v>
      </c>
      <c r="R538" s="271" t="s">
        <v>112</v>
      </c>
      <c r="S538" s="290">
        <f t="shared" si="173"/>
        <v>5.2282879999999992</v>
      </c>
      <c r="T538" s="275">
        <v>1</v>
      </c>
      <c r="U538" s="290">
        <f t="shared" si="175"/>
        <v>6.23</v>
      </c>
      <c r="V538" s="276" t="s">
        <v>48</v>
      </c>
    </row>
    <row r="539" spans="1:22" s="172" customFormat="1" ht="20.25" customHeight="1">
      <c r="A539" s="263" t="str">
        <f t="shared" si="171"/>
        <v/>
      </c>
      <c r="B539" s="263"/>
      <c r="C539" s="264">
        <f t="shared" si="198"/>
        <v>538</v>
      </c>
      <c r="D539" s="277" t="s">
        <v>1706</v>
      </c>
      <c r="E539" s="293">
        <f t="shared" si="174"/>
        <v>537</v>
      </c>
      <c r="F539" s="267" t="s">
        <v>44</v>
      </c>
      <c r="G539" s="267"/>
      <c r="H539" s="316">
        <v>18</v>
      </c>
      <c r="I539" s="316"/>
      <c r="J539" s="308">
        <f t="shared" ref="J539" si="236">J538</f>
        <v>1664</v>
      </c>
      <c r="K539" s="308" t="str">
        <f t="shared" ref="K539:L541" si="237">K538</f>
        <v>mm id</v>
      </c>
      <c r="L539" s="367" t="str">
        <f t="shared" ref="L539" si="238">J539&amp;" "&amp;K539</f>
        <v>1664 mm id</v>
      </c>
      <c r="M539" s="319">
        <v>1</v>
      </c>
      <c r="N539" s="271" t="s">
        <v>81</v>
      </c>
      <c r="O539" s="297">
        <f t="shared" si="235"/>
        <v>5.2282879999999992</v>
      </c>
      <c r="P539" s="271" t="s">
        <v>139</v>
      </c>
      <c r="Q539" s="324">
        <f>VLOOKUP(H539,BM!$B$3:$Y$62,16,FALSE)</f>
        <v>1</v>
      </c>
      <c r="R539" s="271" t="s">
        <v>112</v>
      </c>
      <c r="S539" s="290">
        <f t="shared" si="173"/>
        <v>5.2282879999999992</v>
      </c>
      <c r="T539" s="275">
        <v>1</v>
      </c>
      <c r="U539" s="290">
        <f t="shared" si="175"/>
        <v>6.23</v>
      </c>
      <c r="V539" s="276" t="s">
        <v>48</v>
      </c>
    </row>
    <row r="540" spans="1:22" s="172" customFormat="1" ht="20.25" customHeight="1">
      <c r="A540" s="263" t="str">
        <f t="shared" ref="A540:A603" si="239">IF(B540="Yes",C540,"")</f>
        <v/>
      </c>
      <c r="B540" s="263"/>
      <c r="C540" s="264">
        <f t="shared" si="198"/>
        <v>539</v>
      </c>
      <c r="D540" s="277" t="s">
        <v>1707</v>
      </c>
      <c r="E540" s="293">
        <f t="shared" si="174"/>
        <v>538</v>
      </c>
      <c r="F540" s="267" t="s">
        <v>111</v>
      </c>
      <c r="G540" s="267"/>
      <c r="H540" s="316">
        <v>18</v>
      </c>
      <c r="I540" s="316"/>
      <c r="J540" s="308">
        <f t="shared" ref="J540" si="240">J539</f>
        <v>1664</v>
      </c>
      <c r="K540" s="308" t="str">
        <f t="shared" si="237"/>
        <v>mm id</v>
      </c>
      <c r="L540" s="367" t="str">
        <f t="shared" ref="L540" si="241">J540&amp;" "&amp;K540</f>
        <v>1664 mm id</v>
      </c>
      <c r="M540" s="319">
        <v>1</v>
      </c>
      <c r="N540" s="271" t="s">
        <v>81</v>
      </c>
      <c r="O540" s="297">
        <f t="shared" si="235"/>
        <v>5.2282879999999992</v>
      </c>
      <c r="P540" s="271" t="s">
        <v>139</v>
      </c>
      <c r="Q540" s="273">
        <v>4</v>
      </c>
      <c r="R540" s="271" t="s">
        <v>112</v>
      </c>
      <c r="S540" s="290">
        <f t="shared" si="173"/>
        <v>20.913151999999997</v>
      </c>
      <c r="T540" s="275">
        <v>1</v>
      </c>
      <c r="U540" s="290">
        <f t="shared" si="175"/>
        <v>21.91</v>
      </c>
      <c r="V540" s="276" t="s">
        <v>48</v>
      </c>
    </row>
    <row r="541" spans="1:22" s="172" customFormat="1" ht="20.25" customHeight="1">
      <c r="A541" s="263" t="str">
        <f t="shared" si="239"/>
        <v/>
      </c>
      <c r="B541" s="263"/>
      <c r="C541" s="264">
        <f t="shared" si="198"/>
        <v>540</v>
      </c>
      <c r="D541" s="277" t="s">
        <v>1708</v>
      </c>
      <c r="E541" s="293">
        <f t="shared" si="174"/>
        <v>539</v>
      </c>
      <c r="F541" s="267" t="s">
        <v>63</v>
      </c>
      <c r="G541" s="267"/>
      <c r="H541" s="316">
        <v>18</v>
      </c>
      <c r="I541" s="316"/>
      <c r="J541" s="308">
        <f t="shared" ref="J541" si="242">J540</f>
        <v>1664</v>
      </c>
      <c r="K541" s="308" t="str">
        <f t="shared" si="237"/>
        <v>mm id</v>
      </c>
      <c r="L541" s="367" t="str">
        <f t="shared" ref="L541" si="243">J541&amp;" "&amp;K541</f>
        <v>1664 mm id</v>
      </c>
      <c r="M541" s="319">
        <v>1</v>
      </c>
      <c r="N541" s="271" t="s">
        <v>81</v>
      </c>
      <c r="O541" s="297">
        <f t="shared" si="235"/>
        <v>5.2282879999999992</v>
      </c>
      <c r="P541" s="296" t="s">
        <v>81</v>
      </c>
      <c r="Q541" s="273">
        <v>3.5</v>
      </c>
      <c r="R541" s="271" t="s">
        <v>112</v>
      </c>
      <c r="S541" s="290">
        <f t="shared" ref="S541:S603" si="244">O541*Q541</f>
        <v>18.299007999999997</v>
      </c>
      <c r="T541" s="275">
        <v>1</v>
      </c>
      <c r="U541" s="290">
        <f t="shared" si="175"/>
        <v>19.3</v>
      </c>
      <c r="V541" s="276" t="s">
        <v>48</v>
      </c>
    </row>
    <row r="542" spans="1:22" s="172" customFormat="1" ht="20.25" customHeight="1">
      <c r="A542" s="263">
        <f t="shared" si="239"/>
        <v>541</v>
      </c>
      <c r="B542" s="263" t="s">
        <v>1263</v>
      </c>
      <c r="C542" s="264">
        <f t="shared" si="198"/>
        <v>541</v>
      </c>
      <c r="D542" s="265" t="s">
        <v>1709</v>
      </c>
      <c r="E542" s="279">
        <f>A537</f>
        <v>536</v>
      </c>
      <c r="F542" s="267"/>
      <c r="G542" s="267"/>
      <c r="H542" s="268"/>
      <c r="I542" s="268"/>
      <c r="J542" s="269"/>
      <c r="K542" s="269"/>
      <c r="L542" s="269"/>
      <c r="M542" s="319"/>
      <c r="N542" s="271"/>
      <c r="O542" s="280"/>
      <c r="P542" s="271"/>
      <c r="Q542" s="281"/>
      <c r="R542" s="271"/>
      <c r="S542" s="312"/>
      <c r="T542" s="282"/>
      <c r="U542" s="312"/>
      <c r="V542" s="276"/>
    </row>
    <row r="543" spans="1:22" s="172" customFormat="1" ht="20.25" customHeight="1">
      <c r="A543" s="263" t="str">
        <f t="shared" si="239"/>
        <v/>
      </c>
      <c r="B543" s="263"/>
      <c r="C543" s="264">
        <f t="shared" si="198"/>
        <v>542</v>
      </c>
      <c r="D543" s="277" t="s">
        <v>1710</v>
      </c>
      <c r="E543" s="293"/>
      <c r="F543" s="267" t="s">
        <v>201</v>
      </c>
      <c r="G543" s="267"/>
      <c r="H543" s="316">
        <v>12</v>
      </c>
      <c r="I543" s="316"/>
      <c r="J543" s="308">
        <f>J541</f>
        <v>1664</v>
      </c>
      <c r="K543" s="308" t="str">
        <f>K541</f>
        <v>mm id</v>
      </c>
      <c r="L543" s="367" t="str">
        <f t="shared" ref="L543" si="245">J543&amp;" "&amp;K543</f>
        <v>1664 mm id</v>
      </c>
      <c r="M543" s="319">
        <v>1</v>
      </c>
      <c r="N543" s="271" t="s">
        <v>81</v>
      </c>
      <c r="O543" s="272">
        <v>1</v>
      </c>
      <c r="P543" s="271" t="s">
        <v>249</v>
      </c>
      <c r="Q543" s="273">
        <v>1</v>
      </c>
      <c r="R543" s="271" t="s">
        <v>112</v>
      </c>
      <c r="S543" s="290">
        <f t="shared" si="244"/>
        <v>1</v>
      </c>
      <c r="T543" s="275">
        <v>1</v>
      </c>
      <c r="U543" s="290">
        <f t="shared" ref="U543:U603" si="246">ROUND(S543+T543,2)</f>
        <v>2</v>
      </c>
      <c r="V543" s="276" t="s">
        <v>48</v>
      </c>
    </row>
    <row r="544" spans="1:22" s="172" customFormat="1" ht="20.25" customHeight="1">
      <c r="A544" s="263" t="str">
        <f t="shared" si="239"/>
        <v/>
      </c>
      <c r="B544" s="263"/>
      <c r="C544" s="264">
        <f t="shared" si="198"/>
        <v>543</v>
      </c>
      <c r="D544" s="277" t="s">
        <v>1711</v>
      </c>
      <c r="E544" s="293">
        <f t="shared" ref="E544:E603" si="247">C543</f>
        <v>542</v>
      </c>
      <c r="F544" s="267" t="s">
        <v>115</v>
      </c>
      <c r="G544" s="267"/>
      <c r="H544" s="316">
        <v>12</v>
      </c>
      <c r="I544" s="316"/>
      <c r="J544" s="308">
        <f t="shared" ref="J544" si="248">J543</f>
        <v>1664</v>
      </c>
      <c r="K544" s="308" t="str">
        <f t="shared" ref="K544:L547" si="249">K543</f>
        <v>mm id</v>
      </c>
      <c r="L544" s="367" t="str">
        <f t="shared" ref="L544" si="250">J544&amp;" "&amp;K544</f>
        <v>1664 mm id</v>
      </c>
      <c r="M544" s="319">
        <v>1</v>
      </c>
      <c r="N544" s="271" t="s">
        <v>81</v>
      </c>
      <c r="O544" s="297">
        <f t="shared" ref="O544:O547" si="251">LEFT(L544,SEARCH(" ",L544,1)-1)*M544*3.142/1000</f>
        <v>5.2282879999999992</v>
      </c>
      <c r="P544" s="271" t="s">
        <v>249</v>
      </c>
      <c r="Q544" s="324">
        <f>VLOOKUP(H544,BM!$B$3:$Y$62,17,FALSE)</f>
        <v>2.5</v>
      </c>
      <c r="R544" s="271" t="s">
        <v>112</v>
      </c>
      <c r="S544" s="290">
        <f t="shared" si="244"/>
        <v>13.070719999999998</v>
      </c>
      <c r="T544" s="275">
        <v>1</v>
      </c>
      <c r="U544" s="290">
        <f t="shared" si="246"/>
        <v>14.07</v>
      </c>
      <c r="V544" s="276" t="s">
        <v>48</v>
      </c>
    </row>
    <row r="545" spans="1:22" s="172" customFormat="1" ht="20.25" customHeight="1">
      <c r="A545" s="263" t="str">
        <f t="shared" si="239"/>
        <v/>
      </c>
      <c r="B545" s="263"/>
      <c r="C545" s="264">
        <f t="shared" si="198"/>
        <v>544</v>
      </c>
      <c r="D545" s="277" t="s">
        <v>1712</v>
      </c>
      <c r="E545" s="293">
        <f t="shared" si="247"/>
        <v>543</v>
      </c>
      <c r="F545" s="267" t="s">
        <v>61</v>
      </c>
      <c r="G545" s="267"/>
      <c r="H545" s="316">
        <v>18</v>
      </c>
      <c r="I545" s="316"/>
      <c r="J545" s="308">
        <f t="shared" ref="J545" si="252">J544</f>
        <v>1664</v>
      </c>
      <c r="K545" s="308" t="str">
        <f t="shared" si="249"/>
        <v>mm id</v>
      </c>
      <c r="L545" s="367" t="str">
        <f t="shared" ref="L545" si="253">J545&amp;" "&amp;K545</f>
        <v>1664 mm id</v>
      </c>
      <c r="M545" s="319">
        <v>1</v>
      </c>
      <c r="N545" s="271" t="s">
        <v>81</v>
      </c>
      <c r="O545" s="297">
        <f t="shared" si="251"/>
        <v>5.2282879999999992</v>
      </c>
      <c r="P545" s="271" t="s">
        <v>249</v>
      </c>
      <c r="Q545" s="324">
        <f>VLOOKUP(H545,BM!$B$3:$Y$62,18,FALSE)</f>
        <v>1</v>
      </c>
      <c r="R545" s="271" t="s">
        <v>112</v>
      </c>
      <c r="S545" s="290">
        <f t="shared" si="244"/>
        <v>5.2282879999999992</v>
      </c>
      <c r="T545" s="275">
        <v>1</v>
      </c>
      <c r="U545" s="290">
        <f t="shared" si="246"/>
        <v>6.23</v>
      </c>
      <c r="V545" s="276" t="s">
        <v>48</v>
      </c>
    </row>
    <row r="546" spans="1:22" s="172" customFormat="1" ht="20.25" customHeight="1">
      <c r="A546" s="263" t="str">
        <f t="shared" si="239"/>
        <v/>
      </c>
      <c r="B546" s="263"/>
      <c r="C546" s="264">
        <f t="shared" si="198"/>
        <v>545</v>
      </c>
      <c r="D546" s="277" t="s">
        <v>1713</v>
      </c>
      <c r="E546" s="293">
        <f t="shared" si="247"/>
        <v>544</v>
      </c>
      <c r="F546" s="267" t="s">
        <v>115</v>
      </c>
      <c r="G546" s="267"/>
      <c r="H546" s="316">
        <v>6</v>
      </c>
      <c r="I546" s="316"/>
      <c r="J546" s="308">
        <f t="shared" ref="J546" si="254">J545</f>
        <v>1664</v>
      </c>
      <c r="K546" s="308" t="str">
        <f t="shared" si="249"/>
        <v>mm id</v>
      </c>
      <c r="L546" s="367" t="str">
        <f t="shared" ref="L546" si="255">J546&amp;" "&amp;K546</f>
        <v>1664 mm id</v>
      </c>
      <c r="M546" s="319">
        <v>1</v>
      </c>
      <c r="N546" s="271" t="s">
        <v>81</v>
      </c>
      <c r="O546" s="297">
        <f t="shared" si="251"/>
        <v>5.2282879999999992</v>
      </c>
      <c r="P546" s="271" t="s">
        <v>249</v>
      </c>
      <c r="Q546" s="324">
        <f>VLOOKUP(H546,BM!$B$3:$Y$62,17,FALSE)</f>
        <v>0.9</v>
      </c>
      <c r="R546" s="271" t="s">
        <v>112</v>
      </c>
      <c r="S546" s="290">
        <f t="shared" si="244"/>
        <v>4.7054591999999991</v>
      </c>
      <c r="T546" s="275">
        <v>1</v>
      </c>
      <c r="U546" s="290">
        <f t="shared" si="246"/>
        <v>5.71</v>
      </c>
      <c r="V546" s="276" t="s">
        <v>48</v>
      </c>
    </row>
    <row r="547" spans="1:22" s="172" customFormat="1" ht="20.25" customHeight="1">
      <c r="A547" s="263" t="str">
        <f t="shared" si="239"/>
        <v/>
      </c>
      <c r="B547" s="263"/>
      <c r="C547" s="264">
        <f t="shared" si="198"/>
        <v>546</v>
      </c>
      <c r="D547" s="277" t="s">
        <v>1714</v>
      </c>
      <c r="E547" s="293">
        <f t="shared" si="247"/>
        <v>545</v>
      </c>
      <c r="F547" s="267" t="s">
        <v>61</v>
      </c>
      <c r="G547" s="267"/>
      <c r="H547" s="316">
        <v>18</v>
      </c>
      <c r="I547" s="316"/>
      <c r="J547" s="308">
        <f t="shared" ref="J547" si="256">J546</f>
        <v>1664</v>
      </c>
      <c r="K547" s="308" t="str">
        <f t="shared" si="249"/>
        <v>mm id</v>
      </c>
      <c r="L547" s="367" t="str">
        <f t="shared" ref="L547" si="257">J547&amp;" "&amp;K547</f>
        <v>1664 mm id</v>
      </c>
      <c r="M547" s="319">
        <v>1</v>
      </c>
      <c r="N547" s="271" t="s">
        <v>81</v>
      </c>
      <c r="O547" s="297">
        <f t="shared" si="251"/>
        <v>5.2282879999999992</v>
      </c>
      <c r="P547" s="271" t="s">
        <v>249</v>
      </c>
      <c r="Q547" s="324">
        <f>VLOOKUP(H547,BM!$B$3:$Y$62,20,FALSE)</f>
        <v>0.5</v>
      </c>
      <c r="R547" s="271" t="s">
        <v>112</v>
      </c>
      <c r="S547" s="290">
        <f t="shared" si="244"/>
        <v>2.6141439999999996</v>
      </c>
      <c r="T547" s="275">
        <v>1</v>
      </c>
      <c r="U547" s="290">
        <f t="shared" si="246"/>
        <v>3.61</v>
      </c>
      <c r="V547" s="276" t="s">
        <v>48</v>
      </c>
    </row>
    <row r="548" spans="1:22" s="172" customFormat="1" ht="20.25" customHeight="1">
      <c r="A548" s="263">
        <f t="shared" si="239"/>
        <v>547</v>
      </c>
      <c r="B548" s="263" t="s">
        <v>1263</v>
      </c>
      <c r="C548" s="264">
        <f t="shared" si="198"/>
        <v>547</v>
      </c>
      <c r="D548" s="265" t="s">
        <v>1715</v>
      </c>
      <c r="E548" s="279">
        <f>A542</f>
        <v>541</v>
      </c>
      <c r="F548" s="267"/>
      <c r="G548" s="267"/>
      <c r="H548" s="268"/>
      <c r="I548" s="268"/>
      <c r="J548" s="269"/>
      <c r="K548" s="269"/>
      <c r="L548" s="269"/>
      <c r="M548" s="319"/>
      <c r="N548" s="271"/>
      <c r="O548" s="280"/>
      <c r="P548" s="271"/>
      <c r="Q548" s="281"/>
      <c r="R548" s="271"/>
      <c r="S548" s="312"/>
      <c r="T548" s="282"/>
      <c r="U548" s="312"/>
      <c r="V548" s="276"/>
    </row>
    <row r="549" spans="1:22" s="172" customFormat="1" ht="20.25" customHeight="1">
      <c r="A549" s="263" t="str">
        <f t="shared" si="239"/>
        <v/>
      </c>
      <c r="B549" s="263"/>
      <c r="C549" s="264">
        <f t="shared" si="198"/>
        <v>548</v>
      </c>
      <c r="D549" s="277" t="s">
        <v>1716</v>
      </c>
      <c r="E549" s="293"/>
      <c r="F549" s="267" t="s">
        <v>312</v>
      </c>
      <c r="G549" s="267"/>
      <c r="H549" s="308">
        <f>H547</f>
        <v>18</v>
      </c>
      <c r="I549" s="308"/>
      <c r="J549" s="308">
        <f t="shared" ref="J549:K549" si="258">J547</f>
        <v>1664</v>
      </c>
      <c r="K549" s="308" t="str">
        <f t="shared" si="258"/>
        <v>mm id</v>
      </c>
      <c r="L549" s="367" t="str">
        <f t="shared" ref="L549" si="259">J549&amp;" "&amp;K549</f>
        <v>1664 mm id</v>
      </c>
      <c r="M549" s="326">
        <f t="shared" ref="L549:N549" si="260">M547</f>
        <v>1</v>
      </c>
      <c r="N549" s="331" t="str">
        <f t="shared" si="260"/>
        <v>Nos</v>
      </c>
      <c r="O549" s="274">
        <v>1</v>
      </c>
      <c r="P549" s="296" t="s">
        <v>81</v>
      </c>
      <c r="Q549" s="273">
        <v>1</v>
      </c>
      <c r="R549" s="271" t="s">
        <v>41</v>
      </c>
      <c r="S549" s="290">
        <f t="shared" si="244"/>
        <v>1</v>
      </c>
      <c r="T549" s="293"/>
      <c r="U549" s="290">
        <f t="shared" si="246"/>
        <v>1</v>
      </c>
      <c r="V549" s="276" t="s">
        <v>42</v>
      </c>
    </row>
    <row r="550" spans="1:22" s="172" customFormat="1" ht="20.25" customHeight="1">
      <c r="A550" s="263">
        <f t="shared" si="239"/>
        <v>549</v>
      </c>
      <c r="B550" s="263" t="s">
        <v>1263</v>
      </c>
      <c r="C550" s="264">
        <f t="shared" si="198"/>
        <v>549</v>
      </c>
      <c r="D550" s="265" t="s">
        <v>1717</v>
      </c>
      <c r="E550" s="279">
        <f>C548</f>
        <v>547</v>
      </c>
      <c r="F550" s="267"/>
      <c r="G550" s="267"/>
      <c r="H550" s="268"/>
      <c r="I550" s="268"/>
      <c r="J550" s="269"/>
      <c r="K550" s="269"/>
      <c r="L550" s="269"/>
      <c r="M550" s="319"/>
      <c r="N550" s="271"/>
      <c r="O550" s="280"/>
      <c r="P550" s="271"/>
      <c r="Q550" s="281"/>
      <c r="R550" s="271"/>
      <c r="S550" s="312"/>
      <c r="T550" s="282"/>
      <c r="U550" s="312"/>
      <c r="V550" s="276"/>
    </row>
    <row r="551" spans="1:22" s="172" customFormat="1" ht="20.25" customHeight="1">
      <c r="A551" s="263" t="str">
        <f t="shared" si="239"/>
        <v/>
      </c>
      <c r="B551" s="263"/>
      <c r="C551" s="264">
        <f t="shared" si="198"/>
        <v>550</v>
      </c>
      <c r="D551" s="277" t="s">
        <v>1718</v>
      </c>
      <c r="E551" s="293"/>
      <c r="F551" s="267" t="s">
        <v>44</v>
      </c>
      <c r="G551" s="267"/>
      <c r="H551" s="316">
        <v>20</v>
      </c>
      <c r="I551" s="316"/>
      <c r="J551" s="308">
        <f>J549</f>
        <v>1664</v>
      </c>
      <c r="K551" s="308" t="str">
        <f>K549</f>
        <v>mm id</v>
      </c>
      <c r="L551" s="367" t="str">
        <f t="shared" ref="L551" si="261">J551&amp;" "&amp;K551</f>
        <v>1664 mm id</v>
      </c>
      <c r="M551" s="319">
        <v>1</v>
      </c>
      <c r="N551" s="271" t="s">
        <v>81</v>
      </c>
      <c r="O551" s="272">
        <v>1</v>
      </c>
      <c r="P551" s="271" t="s">
        <v>81</v>
      </c>
      <c r="Q551" s="273">
        <v>3</v>
      </c>
      <c r="R551" s="271" t="s">
        <v>112</v>
      </c>
      <c r="S551" s="290">
        <f t="shared" si="244"/>
        <v>3</v>
      </c>
      <c r="T551" s="275">
        <v>1</v>
      </c>
      <c r="U551" s="290">
        <f t="shared" si="246"/>
        <v>4</v>
      </c>
      <c r="V551" s="276" t="s">
        <v>48</v>
      </c>
    </row>
    <row r="552" spans="1:22" s="172" customFormat="1" ht="20.25" customHeight="1">
      <c r="A552" s="263" t="str">
        <f t="shared" si="239"/>
        <v/>
      </c>
      <c r="B552" s="263"/>
      <c r="C552" s="264">
        <f t="shared" si="198"/>
        <v>551</v>
      </c>
      <c r="D552" s="277" t="s">
        <v>1719</v>
      </c>
      <c r="E552" s="293">
        <f t="shared" si="247"/>
        <v>550</v>
      </c>
      <c r="F552" s="267" t="s">
        <v>44</v>
      </c>
      <c r="G552" s="267"/>
      <c r="H552" s="316">
        <v>20</v>
      </c>
      <c r="I552" s="316"/>
      <c r="J552" s="308">
        <f>J551</f>
        <v>1664</v>
      </c>
      <c r="K552" s="308" t="str">
        <f>K551</f>
        <v>mm id</v>
      </c>
      <c r="L552" s="367" t="str">
        <f t="shared" ref="L552" si="262">J552&amp;" "&amp;K552</f>
        <v>1664 mm id</v>
      </c>
      <c r="M552" s="319">
        <v>1</v>
      </c>
      <c r="N552" s="271" t="s">
        <v>81</v>
      </c>
      <c r="O552" s="272">
        <v>1</v>
      </c>
      <c r="P552" s="271" t="s">
        <v>81</v>
      </c>
      <c r="Q552" s="273">
        <v>1</v>
      </c>
      <c r="R552" s="271" t="s">
        <v>112</v>
      </c>
      <c r="S552" s="290">
        <f t="shared" si="244"/>
        <v>1</v>
      </c>
      <c r="T552" s="275">
        <v>1</v>
      </c>
      <c r="U552" s="290">
        <f t="shared" si="246"/>
        <v>2</v>
      </c>
      <c r="V552" s="276" t="s">
        <v>48</v>
      </c>
    </row>
    <row r="553" spans="1:22" s="172" customFormat="1" ht="20.25" customHeight="1">
      <c r="A553" s="263">
        <f t="shared" si="239"/>
        <v>552</v>
      </c>
      <c r="B553" s="263" t="s">
        <v>1263</v>
      </c>
      <c r="C553" s="264">
        <f t="shared" si="198"/>
        <v>552</v>
      </c>
      <c r="D553" s="265" t="s">
        <v>1720</v>
      </c>
      <c r="E553" s="279">
        <f>C550</f>
        <v>549</v>
      </c>
      <c r="F553" s="267"/>
      <c r="G553" s="267"/>
      <c r="H553" s="268"/>
      <c r="I553" s="268"/>
      <c r="J553" s="269"/>
      <c r="K553" s="269"/>
      <c r="L553" s="269"/>
      <c r="M553" s="319"/>
      <c r="N553" s="271"/>
      <c r="O553" s="280"/>
      <c r="P553" s="271"/>
      <c r="Q553" s="281"/>
      <c r="R553" s="271"/>
      <c r="S553" s="312"/>
      <c r="T553" s="282"/>
      <c r="U553" s="312"/>
      <c r="V553" s="276"/>
    </row>
    <row r="554" spans="1:22" s="172" customFormat="1" ht="20.25" customHeight="1">
      <c r="A554" s="263" t="str">
        <f t="shared" si="239"/>
        <v/>
      </c>
      <c r="B554" s="263"/>
      <c r="C554" s="264">
        <f t="shared" si="198"/>
        <v>553</v>
      </c>
      <c r="D554" s="277" t="s">
        <v>1721</v>
      </c>
      <c r="E554" s="293"/>
      <c r="F554" s="267" t="s">
        <v>52</v>
      </c>
      <c r="G554" s="267"/>
      <c r="H554" s="268"/>
      <c r="I554" s="268"/>
      <c r="J554" s="322">
        <v>40</v>
      </c>
      <c r="K554" s="322" t="s">
        <v>1090</v>
      </c>
      <c r="L554" s="367" t="str">
        <f t="shared" ref="L554:L555" si="263">J554&amp;" "&amp;K554</f>
        <v>40 NB</v>
      </c>
      <c r="M554" s="319">
        <v>1</v>
      </c>
      <c r="N554" s="296" t="s">
        <v>81</v>
      </c>
      <c r="O554" s="272">
        <v>1</v>
      </c>
      <c r="P554" s="271" t="s">
        <v>81</v>
      </c>
      <c r="Q554" s="273">
        <v>3</v>
      </c>
      <c r="R554" s="271" t="s">
        <v>112</v>
      </c>
      <c r="S554" s="290">
        <f t="shared" si="244"/>
        <v>3</v>
      </c>
      <c r="T554" s="275">
        <v>1</v>
      </c>
      <c r="U554" s="290">
        <f t="shared" si="246"/>
        <v>4</v>
      </c>
      <c r="V554" s="276" t="s">
        <v>48</v>
      </c>
    </row>
    <row r="555" spans="1:22" s="172" customFormat="1" ht="20.25" customHeight="1">
      <c r="A555" s="263" t="str">
        <f t="shared" si="239"/>
        <v/>
      </c>
      <c r="B555" s="263"/>
      <c r="C555" s="264">
        <f t="shared" si="198"/>
        <v>554</v>
      </c>
      <c r="D555" s="277" t="s">
        <v>1721</v>
      </c>
      <c r="E555" s="293">
        <f t="shared" si="247"/>
        <v>553</v>
      </c>
      <c r="F555" s="267" t="s">
        <v>52</v>
      </c>
      <c r="G555" s="267"/>
      <c r="H555" s="268"/>
      <c r="I555" s="268"/>
      <c r="J555" s="322">
        <v>40</v>
      </c>
      <c r="K555" s="322" t="s">
        <v>1090</v>
      </c>
      <c r="L555" s="367" t="str">
        <f t="shared" si="263"/>
        <v>40 NB</v>
      </c>
      <c r="M555" s="319">
        <v>1</v>
      </c>
      <c r="N555" s="296" t="s">
        <v>81</v>
      </c>
      <c r="O555" s="272">
        <v>1</v>
      </c>
      <c r="P555" s="271" t="s">
        <v>81</v>
      </c>
      <c r="Q555" s="273">
        <v>3</v>
      </c>
      <c r="R555" s="271" t="s">
        <v>112</v>
      </c>
      <c r="S555" s="290">
        <f t="shared" si="244"/>
        <v>3</v>
      </c>
      <c r="T555" s="275">
        <v>1</v>
      </c>
      <c r="U555" s="290">
        <f t="shared" si="246"/>
        <v>4</v>
      </c>
      <c r="V555" s="276" t="s">
        <v>48</v>
      </c>
    </row>
    <row r="556" spans="1:22" s="172" customFormat="1" ht="20.25" customHeight="1">
      <c r="A556" s="263">
        <f t="shared" si="239"/>
        <v>555</v>
      </c>
      <c r="B556" s="263" t="s">
        <v>1263</v>
      </c>
      <c r="C556" s="264">
        <f t="shared" si="198"/>
        <v>555</v>
      </c>
      <c r="D556" s="265" t="s">
        <v>1722</v>
      </c>
      <c r="E556" s="279">
        <f>C553</f>
        <v>552</v>
      </c>
      <c r="F556" s="267"/>
      <c r="G556" s="267"/>
      <c r="H556" s="268"/>
      <c r="I556" s="268"/>
      <c r="J556" s="269"/>
      <c r="K556" s="269"/>
      <c r="L556" s="269"/>
      <c r="M556" s="319"/>
      <c r="N556" s="271"/>
      <c r="O556" s="280"/>
      <c r="P556" s="271"/>
      <c r="Q556" s="281"/>
      <c r="R556" s="271"/>
      <c r="S556" s="312"/>
      <c r="T556" s="282"/>
      <c r="U556" s="312"/>
      <c r="V556" s="276"/>
    </row>
    <row r="557" spans="1:22" s="172" customFormat="1" ht="20.25" customHeight="1">
      <c r="A557" s="263" t="str">
        <f t="shared" si="239"/>
        <v/>
      </c>
      <c r="B557" s="263"/>
      <c r="C557" s="264">
        <f t="shared" si="198"/>
        <v>556</v>
      </c>
      <c r="D557" s="277" t="s">
        <v>1721</v>
      </c>
      <c r="E557" s="293"/>
      <c r="F557" s="267" t="s">
        <v>121</v>
      </c>
      <c r="G557" s="267"/>
      <c r="H557" s="268"/>
      <c r="I557" s="268"/>
      <c r="J557" s="322">
        <v>40</v>
      </c>
      <c r="K557" s="322" t="s">
        <v>1090</v>
      </c>
      <c r="L557" s="367" t="str">
        <f t="shared" ref="L557:L558" si="264">J557&amp;" "&amp;K557</f>
        <v>40 NB</v>
      </c>
      <c r="M557" s="319">
        <v>1</v>
      </c>
      <c r="N557" s="296" t="s">
        <v>81</v>
      </c>
      <c r="O557" s="272">
        <v>1</v>
      </c>
      <c r="P557" s="271" t="s">
        <v>81</v>
      </c>
      <c r="Q557" s="273">
        <v>2</v>
      </c>
      <c r="R557" s="271" t="s">
        <v>112</v>
      </c>
      <c r="S557" s="290">
        <f t="shared" si="244"/>
        <v>2</v>
      </c>
      <c r="T557" s="275">
        <v>1</v>
      </c>
      <c r="U557" s="290">
        <f t="shared" si="246"/>
        <v>3</v>
      </c>
      <c r="V557" s="276" t="s">
        <v>48</v>
      </c>
    </row>
    <row r="558" spans="1:22" s="172" customFormat="1" ht="20.25" customHeight="1">
      <c r="A558" s="263" t="str">
        <f t="shared" si="239"/>
        <v/>
      </c>
      <c r="B558" s="263"/>
      <c r="C558" s="264">
        <f t="shared" si="198"/>
        <v>557</v>
      </c>
      <c r="D558" s="277" t="s">
        <v>1721</v>
      </c>
      <c r="E558" s="293">
        <f t="shared" si="247"/>
        <v>556</v>
      </c>
      <c r="F558" s="267" t="s">
        <v>121</v>
      </c>
      <c r="G558" s="267"/>
      <c r="H558" s="268"/>
      <c r="I558" s="268"/>
      <c r="J558" s="322">
        <v>40</v>
      </c>
      <c r="K558" s="322" t="s">
        <v>1090</v>
      </c>
      <c r="L558" s="367" t="str">
        <f t="shared" si="264"/>
        <v>40 NB</v>
      </c>
      <c r="M558" s="319">
        <v>1</v>
      </c>
      <c r="N558" s="296" t="s">
        <v>81</v>
      </c>
      <c r="O558" s="272">
        <v>1</v>
      </c>
      <c r="P558" s="271" t="s">
        <v>81</v>
      </c>
      <c r="Q558" s="273">
        <v>2</v>
      </c>
      <c r="R558" s="271" t="s">
        <v>112</v>
      </c>
      <c r="S558" s="290">
        <f t="shared" si="244"/>
        <v>2</v>
      </c>
      <c r="T558" s="275">
        <v>1</v>
      </c>
      <c r="U558" s="290">
        <f t="shared" si="246"/>
        <v>3</v>
      </c>
      <c r="V558" s="276" t="s">
        <v>48</v>
      </c>
    </row>
    <row r="559" spans="1:22" s="172" customFormat="1" ht="20.25" customHeight="1">
      <c r="A559" s="263">
        <f t="shared" si="239"/>
        <v>558</v>
      </c>
      <c r="B559" s="263" t="s">
        <v>1263</v>
      </c>
      <c r="C559" s="264">
        <f t="shared" si="198"/>
        <v>558</v>
      </c>
      <c r="D559" s="265" t="s">
        <v>1723</v>
      </c>
      <c r="E559" s="279">
        <f>C556</f>
        <v>555</v>
      </c>
      <c r="F559" s="267"/>
      <c r="G559" s="267"/>
      <c r="H559" s="268"/>
      <c r="I559" s="268"/>
      <c r="J559" s="269"/>
      <c r="K559" s="269"/>
      <c r="L559" s="269"/>
      <c r="M559" s="319"/>
      <c r="N559" s="271"/>
      <c r="O559" s="280"/>
      <c r="P559" s="271"/>
      <c r="Q559" s="281"/>
      <c r="R559" s="271"/>
      <c r="S559" s="312"/>
      <c r="T559" s="282"/>
      <c r="U559" s="312"/>
      <c r="V559" s="276"/>
    </row>
    <row r="560" spans="1:22" s="172" customFormat="1" ht="20.25" customHeight="1">
      <c r="A560" s="263" t="str">
        <f t="shared" si="239"/>
        <v/>
      </c>
      <c r="B560" s="263"/>
      <c r="C560" s="264">
        <f t="shared" si="198"/>
        <v>559</v>
      </c>
      <c r="D560" s="277" t="s">
        <v>1724</v>
      </c>
      <c r="E560" s="293"/>
      <c r="F560" s="267" t="s">
        <v>111</v>
      </c>
      <c r="G560" s="267"/>
      <c r="H560" s="268"/>
      <c r="I560" s="268"/>
      <c r="J560" s="322">
        <v>40</v>
      </c>
      <c r="K560" s="322" t="s">
        <v>1090</v>
      </c>
      <c r="L560" s="367" t="str">
        <f>J560&amp;" "&amp;K560</f>
        <v>40 NB</v>
      </c>
      <c r="M560" s="319">
        <v>1</v>
      </c>
      <c r="N560" s="296" t="s">
        <v>81</v>
      </c>
      <c r="O560" s="272">
        <v>1</v>
      </c>
      <c r="P560" s="271" t="s">
        <v>81</v>
      </c>
      <c r="Q560" s="324" t="e">
        <f>VLOOKUP(L560,BM!$B$3:$Y$62,11,FALSE)</f>
        <v>#N/A</v>
      </c>
      <c r="R560" s="271" t="s">
        <v>112</v>
      </c>
      <c r="S560" s="290" t="e">
        <f t="shared" si="244"/>
        <v>#N/A</v>
      </c>
      <c r="T560" s="275">
        <v>1</v>
      </c>
      <c r="U560" s="290" t="e">
        <f t="shared" si="246"/>
        <v>#N/A</v>
      </c>
      <c r="V560" s="276" t="s">
        <v>48</v>
      </c>
    </row>
    <row r="561" spans="1:22" s="172" customFormat="1" ht="20.25" customHeight="1">
      <c r="A561" s="263" t="str">
        <f t="shared" si="239"/>
        <v/>
      </c>
      <c r="B561" s="263"/>
      <c r="C561" s="264">
        <f t="shared" si="198"/>
        <v>560</v>
      </c>
      <c r="D561" s="277" t="s">
        <v>1725</v>
      </c>
      <c r="E561" s="293">
        <f t="shared" si="247"/>
        <v>559</v>
      </c>
      <c r="F561" s="267" t="s">
        <v>111</v>
      </c>
      <c r="G561" s="267"/>
      <c r="H561" s="268"/>
      <c r="I561" s="268"/>
      <c r="J561" s="308">
        <f>J560</f>
        <v>40</v>
      </c>
      <c r="K561" s="308" t="str">
        <f>K560</f>
        <v>NB</v>
      </c>
      <c r="L561" s="367" t="str">
        <f t="shared" ref="L561" si="265">J561&amp;" "&amp;K561</f>
        <v>40 NB</v>
      </c>
      <c r="M561" s="319">
        <v>1</v>
      </c>
      <c r="N561" s="296" t="s">
        <v>81</v>
      </c>
      <c r="O561" s="272">
        <v>1</v>
      </c>
      <c r="P561" s="271" t="s">
        <v>81</v>
      </c>
      <c r="Q561" s="324" t="e">
        <f>VLOOKUP(L561,BM!$B$3:$Y$62,11,FALSE)</f>
        <v>#N/A</v>
      </c>
      <c r="R561" s="271" t="s">
        <v>112</v>
      </c>
      <c r="S561" s="290" t="e">
        <f t="shared" si="244"/>
        <v>#N/A</v>
      </c>
      <c r="T561" s="275">
        <v>1</v>
      </c>
      <c r="U561" s="290" t="e">
        <f t="shared" si="246"/>
        <v>#N/A</v>
      </c>
      <c r="V561" s="276" t="s">
        <v>48</v>
      </c>
    </row>
    <row r="562" spans="1:22" s="172" customFormat="1" ht="20.25" customHeight="1">
      <c r="A562" s="263">
        <f t="shared" si="239"/>
        <v>561</v>
      </c>
      <c r="B562" s="263" t="s">
        <v>1263</v>
      </c>
      <c r="C562" s="264">
        <f t="shared" si="198"/>
        <v>561</v>
      </c>
      <c r="D562" s="265" t="s">
        <v>1726</v>
      </c>
      <c r="E562" s="279">
        <f>C559</f>
        <v>558</v>
      </c>
      <c r="F562" s="267"/>
      <c r="G562" s="267"/>
      <c r="H562" s="268"/>
      <c r="I562" s="268"/>
      <c r="J562" s="269"/>
      <c r="K562" s="269"/>
      <c r="L562" s="269"/>
      <c r="M562" s="319"/>
      <c r="N562" s="271"/>
      <c r="O562" s="280"/>
      <c r="P562" s="271"/>
      <c r="Q562" s="281"/>
      <c r="R562" s="271"/>
      <c r="S562" s="312"/>
      <c r="T562" s="282"/>
      <c r="U562" s="312"/>
      <c r="V562" s="276"/>
    </row>
    <row r="563" spans="1:22" s="172" customFormat="1" ht="20.25" customHeight="1">
      <c r="A563" s="263" t="str">
        <f t="shared" si="239"/>
        <v/>
      </c>
      <c r="B563" s="263"/>
      <c r="C563" s="264">
        <f t="shared" si="198"/>
        <v>562</v>
      </c>
      <c r="D563" s="277" t="s">
        <v>1727</v>
      </c>
      <c r="E563" s="293"/>
      <c r="F563" s="267" t="s">
        <v>568</v>
      </c>
      <c r="G563" s="267"/>
      <c r="H563" s="268"/>
      <c r="I563" s="268"/>
      <c r="J563" s="308">
        <f>J561</f>
        <v>40</v>
      </c>
      <c r="K563" s="308" t="str">
        <f>K561</f>
        <v>NB</v>
      </c>
      <c r="L563" s="367" t="str">
        <f t="shared" ref="L563" si="266">J563&amp;" "&amp;K563</f>
        <v>40 NB</v>
      </c>
      <c r="M563" s="319">
        <v>1</v>
      </c>
      <c r="N563" s="296" t="s">
        <v>81</v>
      </c>
      <c r="O563" s="272">
        <v>1</v>
      </c>
      <c r="P563" s="271" t="s">
        <v>81</v>
      </c>
      <c r="Q563" s="273">
        <v>0.5</v>
      </c>
      <c r="R563" s="271" t="s">
        <v>112</v>
      </c>
      <c r="S563" s="290">
        <f t="shared" si="244"/>
        <v>0.5</v>
      </c>
      <c r="T563" s="275">
        <v>1</v>
      </c>
      <c r="U563" s="290">
        <f t="shared" si="246"/>
        <v>1.5</v>
      </c>
      <c r="V563" s="276" t="s">
        <v>48</v>
      </c>
    </row>
    <row r="564" spans="1:22" s="172" customFormat="1" ht="20.25" customHeight="1">
      <c r="A564" s="263" t="str">
        <f t="shared" si="239"/>
        <v/>
      </c>
      <c r="B564" s="263"/>
      <c r="C564" s="264">
        <f t="shared" si="198"/>
        <v>563</v>
      </c>
      <c r="D564" s="277" t="s">
        <v>1728</v>
      </c>
      <c r="E564" s="293">
        <f t="shared" si="247"/>
        <v>562</v>
      </c>
      <c r="F564" s="267" t="s">
        <v>568</v>
      </c>
      <c r="G564" s="267"/>
      <c r="H564" s="268"/>
      <c r="I564" s="268"/>
      <c r="J564" s="308">
        <f>J561</f>
        <v>40</v>
      </c>
      <c r="K564" s="308" t="str">
        <f>K561</f>
        <v>NB</v>
      </c>
      <c r="L564" s="367" t="str">
        <f t="shared" ref="L564" si="267">J564&amp;" "&amp;K564</f>
        <v>40 NB</v>
      </c>
      <c r="M564" s="319">
        <v>1</v>
      </c>
      <c r="N564" s="296" t="s">
        <v>81</v>
      </c>
      <c r="O564" s="272">
        <v>1</v>
      </c>
      <c r="P564" s="271" t="s">
        <v>81</v>
      </c>
      <c r="Q564" s="273">
        <v>0.5</v>
      </c>
      <c r="R564" s="271" t="s">
        <v>112</v>
      </c>
      <c r="S564" s="290">
        <f t="shared" si="244"/>
        <v>0.5</v>
      </c>
      <c r="T564" s="275">
        <v>1</v>
      </c>
      <c r="U564" s="290">
        <f t="shared" si="246"/>
        <v>1.5</v>
      </c>
      <c r="V564" s="276" t="s">
        <v>48</v>
      </c>
    </row>
    <row r="565" spans="1:22" s="172" customFormat="1" ht="20.25" customHeight="1">
      <c r="A565" s="263">
        <f t="shared" si="239"/>
        <v>564</v>
      </c>
      <c r="B565" s="263" t="s">
        <v>1263</v>
      </c>
      <c r="C565" s="264">
        <f t="shared" si="198"/>
        <v>564</v>
      </c>
      <c r="D565" s="265" t="s">
        <v>1729</v>
      </c>
      <c r="E565" s="279">
        <f>C562</f>
        <v>561</v>
      </c>
      <c r="F565" s="267"/>
      <c r="G565" s="267"/>
      <c r="H565" s="268"/>
      <c r="I565" s="268"/>
      <c r="J565" s="269"/>
      <c r="K565" s="269"/>
      <c r="L565" s="269"/>
      <c r="M565" s="319"/>
      <c r="N565" s="271"/>
      <c r="O565" s="280"/>
      <c r="P565" s="271"/>
      <c r="Q565" s="281"/>
      <c r="R565" s="271"/>
      <c r="S565" s="312"/>
      <c r="T565" s="282"/>
      <c r="U565" s="312"/>
      <c r="V565" s="276"/>
    </row>
    <row r="566" spans="1:22" s="172" customFormat="1" ht="20.25" customHeight="1">
      <c r="A566" s="263" t="str">
        <f t="shared" si="239"/>
        <v/>
      </c>
      <c r="B566" s="263"/>
      <c r="C566" s="264">
        <f t="shared" si="198"/>
        <v>565</v>
      </c>
      <c r="D566" s="277" t="s">
        <v>1730</v>
      </c>
      <c r="E566" s="293"/>
      <c r="F566" s="267" t="s">
        <v>37</v>
      </c>
      <c r="G566" s="267"/>
      <c r="H566" s="316">
        <v>40</v>
      </c>
      <c r="I566" s="322" t="s">
        <v>1090</v>
      </c>
      <c r="J566" s="317">
        <f>J564</f>
        <v>40</v>
      </c>
      <c r="K566" s="317" t="str">
        <f>K564</f>
        <v>NB</v>
      </c>
      <c r="L566" s="367" t="str">
        <f t="shared" ref="L566" si="268">J566&amp;" "&amp;K566</f>
        <v>40 NB</v>
      </c>
      <c r="M566" s="319">
        <v>1</v>
      </c>
      <c r="N566" s="271" t="s">
        <v>81</v>
      </c>
      <c r="O566" s="272">
        <v>1</v>
      </c>
      <c r="P566" s="271" t="s">
        <v>81</v>
      </c>
      <c r="Q566" s="273">
        <v>0.5</v>
      </c>
      <c r="R566" s="271" t="s">
        <v>112</v>
      </c>
      <c r="S566" s="290">
        <f t="shared" si="244"/>
        <v>0.5</v>
      </c>
      <c r="T566" s="275">
        <v>1</v>
      </c>
      <c r="U566" s="290">
        <f t="shared" si="246"/>
        <v>1.5</v>
      </c>
      <c r="V566" s="276" t="s">
        <v>48</v>
      </c>
    </row>
    <row r="567" spans="1:22" s="172" customFormat="1" ht="20.25" customHeight="1">
      <c r="A567" s="263" t="str">
        <f t="shared" si="239"/>
        <v/>
      </c>
      <c r="B567" s="263"/>
      <c r="C567" s="264">
        <f t="shared" si="198"/>
        <v>566</v>
      </c>
      <c r="D567" s="277" t="s">
        <v>1731</v>
      </c>
      <c r="E567" s="293">
        <f t="shared" si="247"/>
        <v>565</v>
      </c>
      <c r="F567" s="267" t="s">
        <v>115</v>
      </c>
      <c r="G567" s="267"/>
      <c r="H567" s="316">
        <v>10</v>
      </c>
      <c r="I567" s="316"/>
      <c r="J567" s="294">
        <v>75</v>
      </c>
      <c r="K567" s="294" t="s">
        <v>1831</v>
      </c>
      <c r="L567" s="367" t="str">
        <f>J567&amp;" "&amp;K567</f>
        <v>75 mm</v>
      </c>
      <c r="M567" s="319">
        <v>1</v>
      </c>
      <c r="N567" s="296" t="s">
        <v>81</v>
      </c>
      <c r="O567" s="297">
        <f t="shared" ref="O567:O571" si="269">LEFT(L567,SEARCH(" ",L567,1)-1)*M567*3.142/1000</f>
        <v>0.23565</v>
      </c>
      <c r="P567" s="271"/>
      <c r="Q567" s="324">
        <f>VLOOKUP(H567,BM!$B$3:$Y$62,17,FALSE)</f>
        <v>1.88</v>
      </c>
      <c r="R567" s="271" t="s">
        <v>112</v>
      </c>
      <c r="S567" s="290">
        <f t="shared" si="244"/>
        <v>0.44302199999999997</v>
      </c>
      <c r="T567" s="275">
        <v>1</v>
      </c>
      <c r="U567" s="290">
        <f t="shared" si="246"/>
        <v>1.44</v>
      </c>
      <c r="V567" s="276" t="s">
        <v>48</v>
      </c>
    </row>
    <row r="568" spans="1:22" s="172" customFormat="1" ht="20.25" customHeight="1">
      <c r="A568" s="263" t="str">
        <f t="shared" si="239"/>
        <v/>
      </c>
      <c r="B568" s="263"/>
      <c r="C568" s="264">
        <f t="shared" si="198"/>
        <v>567</v>
      </c>
      <c r="D568" s="277" t="s">
        <v>1732</v>
      </c>
      <c r="E568" s="293">
        <f t="shared" si="247"/>
        <v>566</v>
      </c>
      <c r="F568" s="267" t="s">
        <v>115</v>
      </c>
      <c r="G568" s="267"/>
      <c r="H568" s="316">
        <v>10</v>
      </c>
      <c r="I568" s="316"/>
      <c r="J568" s="308">
        <f>J567</f>
        <v>75</v>
      </c>
      <c r="K568" s="308" t="str">
        <f>K567</f>
        <v>mm</v>
      </c>
      <c r="L568" s="367" t="str">
        <f t="shared" ref="L568" si="270">J568&amp;" "&amp;K568</f>
        <v>75 mm</v>
      </c>
      <c r="M568" s="319">
        <v>1</v>
      </c>
      <c r="N568" s="296" t="s">
        <v>81</v>
      </c>
      <c r="O568" s="297">
        <f t="shared" si="269"/>
        <v>0.23565</v>
      </c>
      <c r="P568" s="271"/>
      <c r="Q568" s="324">
        <f>VLOOKUP(H568,BM!$B$3:$Y$62,17,FALSE)</f>
        <v>1.88</v>
      </c>
      <c r="R568" s="271" t="s">
        <v>112</v>
      </c>
      <c r="S568" s="290">
        <f t="shared" si="244"/>
        <v>0.44302199999999997</v>
      </c>
      <c r="T568" s="275">
        <v>1</v>
      </c>
      <c r="U568" s="290">
        <f t="shared" si="246"/>
        <v>1.44</v>
      </c>
      <c r="V568" s="276" t="s">
        <v>48</v>
      </c>
    </row>
    <row r="569" spans="1:22" s="172" customFormat="1" ht="20.25" customHeight="1">
      <c r="A569" s="263" t="str">
        <f t="shared" si="239"/>
        <v/>
      </c>
      <c r="B569" s="263"/>
      <c r="C569" s="264">
        <f t="shared" si="198"/>
        <v>568</v>
      </c>
      <c r="D569" s="277" t="s">
        <v>1733</v>
      </c>
      <c r="E569" s="293">
        <f t="shared" si="247"/>
        <v>567</v>
      </c>
      <c r="F569" s="267" t="s">
        <v>44</v>
      </c>
      <c r="G569" s="267"/>
      <c r="H569" s="268"/>
      <c r="I569" s="268"/>
      <c r="J569" s="308">
        <f>J568</f>
        <v>75</v>
      </c>
      <c r="K569" s="308" t="str">
        <f>K568</f>
        <v>mm</v>
      </c>
      <c r="L569" s="367" t="str">
        <f t="shared" ref="L569" si="271">J569&amp;" "&amp;K569</f>
        <v>75 mm</v>
      </c>
      <c r="M569" s="319">
        <v>2</v>
      </c>
      <c r="N569" s="296" t="s">
        <v>81</v>
      </c>
      <c r="O569" s="272">
        <v>2</v>
      </c>
      <c r="P569" s="271"/>
      <c r="Q569" s="273">
        <v>0.5</v>
      </c>
      <c r="R569" s="271" t="s">
        <v>112</v>
      </c>
      <c r="S569" s="290">
        <f t="shared" si="244"/>
        <v>1</v>
      </c>
      <c r="T569" s="275">
        <v>1</v>
      </c>
      <c r="U569" s="290">
        <f t="shared" si="246"/>
        <v>2</v>
      </c>
      <c r="V569" s="276" t="s">
        <v>48</v>
      </c>
    </row>
    <row r="570" spans="1:22" s="172" customFormat="1" ht="20.25" customHeight="1">
      <c r="A570" s="263" t="str">
        <f t="shared" si="239"/>
        <v/>
      </c>
      <c r="B570" s="263"/>
      <c r="C570" s="264">
        <f t="shared" si="198"/>
        <v>569</v>
      </c>
      <c r="D570" s="277" t="s">
        <v>1734</v>
      </c>
      <c r="E570" s="293">
        <f t="shared" si="247"/>
        <v>568</v>
      </c>
      <c r="F570" s="267" t="s">
        <v>115</v>
      </c>
      <c r="G570" s="267"/>
      <c r="H570" s="316">
        <v>10</v>
      </c>
      <c r="I570" s="316"/>
      <c r="J570" s="308">
        <f>J569</f>
        <v>75</v>
      </c>
      <c r="K570" s="308" t="str">
        <f>K569</f>
        <v>mm</v>
      </c>
      <c r="L570" s="367" t="str">
        <f t="shared" ref="L570" si="272">J570&amp;" "&amp;K570</f>
        <v>75 mm</v>
      </c>
      <c r="M570" s="319">
        <v>1</v>
      </c>
      <c r="N570" s="296" t="s">
        <v>81</v>
      </c>
      <c r="O570" s="297">
        <f t="shared" si="269"/>
        <v>0.23565</v>
      </c>
      <c r="P570" s="271"/>
      <c r="Q570" s="324">
        <f>VLOOKUP(H570,BM!$B$3:$Y$62,17,FALSE)</f>
        <v>1.88</v>
      </c>
      <c r="R570" s="271" t="s">
        <v>112</v>
      </c>
      <c r="S570" s="290">
        <f t="shared" si="244"/>
        <v>0.44302199999999997</v>
      </c>
      <c r="T570" s="275">
        <v>1</v>
      </c>
      <c r="U570" s="290">
        <f t="shared" si="246"/>
        <v>1.44</v>
      </c>
      <c r="V570" s="276" t="s">
        <v>48</v>
      </c>
    </row>
    <row r="571" spans="1:22" s="172" customFormat="1" ht="20.25" customHeight="1">
      <c r="A571" s="263" t="str">
        <f t="shared" si="239"/>
        <v/>
      </c>
      <c r="B571" s="263"/>
      <c r="C571" s="264">
        <f t="shared" si="198"/>
        <v>570</v>
      </c>
      <c r="D571" s="277" t="s">
        <v>1735</v>
      </c>
      <c r="E571" s="293">
        <f t="shared" si="247"/>
        <v>569</v>
      </c>
      <c r="F571" s="267" t="s">
        <v>115</v>
      </c>
      <c r="G571" s="267"/>
      <c r="H571" s="316">
        <v>10</v>
      </c>
      <c r="I571" s="316"/>
      <c r="J571" s="308">
        <f>J570</f>
        <v>75</v>
      </c>
      <c r="K571" s="308" t="str">
        <f>K570</f>
        <v>mm</v>
      </c>
      <c r="L571" s="367" t="str">
        <f t="shared" ref="L571" si="273">J571&amp;" "&amp;K571</f>
        <v>75 mm</v>
      </c>
      <c r="M571" s="319">
        <v>1</v>
      </c>
      <c r="N571" s="296" t="s">
        <v>81</v>
      </c>
      <c r="O571" s="297">
        <f t="shared" si="269"/>
        <v>0.23565</v>
      </c>
      <c r="P571" s="271"/>
      <c r="Q571" s="324">
        <f>VLOOKUP(H571,BM!$B$3:$Y$62,17,FALSE)</f>
        <v>1.88</v>
      </c>
      <c r="R571" s="271" t="s">
        <v>112</v>
      </c>
      <c r="S571" s="290">
        <f t="shared" si="244"/>
        <v>0.44302199999999997</v>
      </c>
      <c r="T571" s="275">
        <v>1</v>
      </c>
      <c r="U571" s="290">
        <f t="shared" si="246"/>
        <v>1.44</v>
      </c>
      <c r="V571" s="276" t="s">
        <v>48</v>
      </c>
    </row>
    <row r="572" spans="1:22" s="172" customFormat="1" ht="20.25" customHeight="1">
      <c r="A572" s="263">
        <f t="shared" si="239"/>
        <v>571</v>
      </c>
      <c r="B572" s="263" t="s">
        <v>1263</v>
      </c>
      <c r="C572" s="264">
        <f t="shared" si="198"/>
        <v>571</v>
      </c>
      <c r="D572" s="265" t="s">
        <v>1736</v>
      </c>
      <c r="E572" s="279">
        <f>C565</f>
        <v>564</v>
      </c>
      <c r="F572" s="267"/>
      <c r="G572" s="267"/>
      <c r="H572" s="268"/>
      <c r="I572" s="268"/>
      <c r="J572" s="269"/>
      <c r="K572" s="269"/>
      <c r="L572" s="269"/>
      <c r="M572" s="319"/>
      <c r="N572" s="271"/>
      <c r="O572" s="280"/>
      <c r="P572" s="271"/>
      <c r="Q572" s="281"/>
      <c r="R572" s="271"/>
      <c r="S572" s="312"/>
      <c r="T572" s="282"/>
      <c r="U572" s="312"/>
      <c r="V572" s="276"/>
    </row>
    <row r="573" spans="1:22" s="172" customFormat="1" ht="20.25" customHeight="1">
      <c r="A573" s="263" t="str">
        <f t="shared" si="239"/>
        <v/>
      </c>
      <c r="B573" s="263"/>
      <c r="C573" s="264">
        <f t="shared" si="198"/>
        <v>572</v>
      </c>
      <c r="D573" s="277" t="s">
        <v>1737</v>
      </c>
      <c r="E573" s="293"/>
      <c r="F573" s="267" t="s">
        <v>149</v>
      </c>
      <c r="G573" s="267"/>
      <c r="H573" s="316">
        <v>20</v>
      </c>
      <c r="I573" s="316"/>
      <c r="J573" s="308">
        <f>J564</f>
        <v>40</v>
      </c>
      <c r="K573" s="308" t="str">
        <f>K564</f>
        <v>NB</v>
      </c>
      <c r="L573" s="367" t="str">
        <f>J573&amp;" "&amp;K573</f>
        <v>40 NB</v>
      </c>
      <c r="M573" s="319">
        <v>1</v>
      </c>
      <c r="N573" s="296" t="s">
        <v>81</v>
      </c>
      <c r="O573" s="272">
        <v>1</v>
      </c>
      <c r="P573" s="296" t="s">
        <v>81</v>
      </c>
      <c r="Q573" s="324">
        <f>VLOOKUP(H573,BM!$B$3:$Y$62,23,FALSE)</f>
        <v>8</v>
      </c>
      <c r="R573" s="271" t="s">
        <v>112</v>
      </c>
      <c r="S573" s="290">
        <f t="shared" si="244"/>
        <v>8</v>
      </c>
      <c r="T573" s="275">
        <v>1</v>
      </c>
      <c r="U573" s="290">
        <f t="shared" si="246"/>
        <v>9</v>
      </c>
      <c r="V573" s="276" t="s">
        <v>48</v>
      </c>
    </row>
    <row r="574" spans="1:22" s="172" customFormat="1" ht="20.25" customHeight="1">
      <c r="A574" s="263" t="str">
        <f t="shared" si="239"/>
        <v/>
      </c>
      <c r="B574" s="263"/>
      <c r="C574" s="264">
        <f t="shared" si="198"/>
        <v>573</v>
      </c>
      <c r="D574" s="277" t="s">
        <v>1738</v>
      </c>
      <c r="E574" s="293">
        <f t="shared" si="247"/>
        <v>572</v>
      </c>
      <c r="F574" s="267" t="s">
        <v>63</v>
      </c>
      <c r="G574" s="267"/>
      <c r="H574" s="316" t="s">
        <v>581</v>
      </c>
      <c r="I574" s="316"/>
      <c r="J574" s="308">
        <f>J564</f>
        <v>40</v>
      </c>
      <c r="K574" s="308" t="str">
        <f>K564</f>
        <v>NB</v>
      </c>
      <c r="L574" s="367" t="str">
        <f t="shared" ref="L574" si="274">J574&amp;" "&amp;K574</f>
        <v>40 NB</v>
      </c>
      <c r="M574" s="319">
        <v>1</v>
      </c>
      <c r="N574" s="271" t="s">
        <v>485</v>
      </c>
      <c r="O574" s="272">
        <v>1</v>
      </c>
      <c r="P574" s="296" t="s">
        <v>81</v>
      </c>
      <c r="Q574" s="273">
        <v>1</v>
      </c>
      <c r="R574" s="271" t="s">
        <v>41</v>
      </c>
      <c r="S574" s="290">
        <f t="shared" si="244"/>
        <v>1</v>
      </c>
      <c r="T574" s="275"/>
      <c r="U574" s="290">
        <f t="shared" si="246"/>
        <v>1</v>
      </c>
      <c r="V574" s="276" t="s">
        <v>48</v>
      </c>
    </row>
    <row r="575" spans="1:22" s="172" customFormat="1" ht="20.25" customHeight="1">
      <c r="A575" s="263">
        <f t="shared" si="239"/>
        <v>574</v>
      </c>
      <c r="B575" s="263" t="s">
        <v>1263</v>
      </c>
      <c r="C575" s="264">
        <f t="shared" si="198"/>
        <v>574</v>
      </c>
      <c r="D575" s="265" t="s">
        <v>1739</v>
      </c>
      <c r="E575" s="279"/>
      <c r="F575" s="267"/>
      <c r="G575" s="267"/>
      <c r="H575" s="268"/>
      <c r="I575" s="268"/>
      <c r="J575" s="269"/>
      <c r="K575" s="269"/>
      <c r="L575" s="269"/>
      <c r="M575" s="319"/>
      <c r="N575" s="271"/>
      <c r="O575" s="280"/>
      <c r="P575" s="271"/>
      <c r="Q575" s="281"/>
      <c r="R575" s="271"/>
      <c r="S575" s="312"/>
      <c r="T575" s="282"/>
      <c r="U575" s="312"/>
      <c r="V575" s="276"/>
    </row>
    <row r="576" spans="1:22" s="172" customFormat="1" ht="20.25" customHeight="1">
      <c r="A576" s="263">
        <f t="shared" si="239"/>
        <v>575</v>
      </c>
      <c r="B576" s="263" t="s">
        <v>1263</v>
      </c>
      <c r="C576" s="264">
        <f t="shared" si="198"/>
        <v>575</v>
      </c>
      <c r="D576" s="265" t="s">
        <v>1740</v>
      </c>
      <c r="E576" s="279">
        <f>C14</f>
        <v>13</v>
      </c>
      <c r="F576" s="267"/>
      <c r="G576" s="267"/>
      <c r="H576" s="268"/>
      <c r="I576" s="268"/>
      <c r="J576" s="269"/>
      <c r="K576" s="269"/>
      <c r="L576" s="269"/>
      <c r="M576" s="319"/>
      <c r="N576" s="271"/>
      <c r="O576" s="280"/>
      <c r="P576" s="271"/>
      <c r="Q576" s="281"/>
      <c r="R576" s="271"/>
      <c r="S576" s="312"/>
      <c r="T576" s="282"/>
      <c r="U576" s="312"/>
      <c r="V576" s="276"/>
    </row>
    <row r="577" spans="1:22" s="172" customFormat="1" ht="20.25" customHeight="1">
      <c r="A577" s="263" t="str">
        <f t="shared" si="239"/>
        <v/>
      </c>
      <c r="B577" s="263"/>
      <c r="C577" s="264">
        <f t="shared" si="198"/>
        <v>576</v>
      </c>
      <c r="D577" s="277" t="s">
        <v>1741</v>
      </c>
      <c r="E577" s="293"/>
      <c r="F577" s="267" t="s">
        <v>37</v>
      </c>
      <c r="G577" s="267"/>
      <c r="H577" s="268"/>
      <c r="I577" s="268"/>
      <c r="J577" s="269"/>
      <c r="K577" s="269"/>
      <c r="L577" s="269"/>
      <c r="M577" s="319">
        <v>1</v>
      </c>
      <c r="N577" s="296" t="s">
        <v>81</v>
      </c>
      <c r="O577" s="272">
        <v>1</v>
      </c>
      <c r="P577" s="271"/>
      <c r="Q577" s="273">
        <v>4</v>
      </c>
      <c r="R577" s="271" t="s">
        <v>41</v>
      </c>
      <c r="S577" s="290">
        <f t="shared" si="244"/>
        <v>4</v>
      </c>
      <c r="T577" s="275"/>
      <c r="U577" s="290">
        <f t="shared" si="246"/>
        <v>4</v>
      </c>
      <c r="V577" s="276" t="s">
        <v>42</v>
      </c>
    </row>
    <row r="578" spans="1:22" s="172" customFormat="1" ht="20.25" customHeight="1">
      <c r="A578" s="263" t="str">
        <f t="shared" si="239"/>
        <v/>
      </c>
      <c r="B578" s="263"/>
      <c r="C578" s="264">
        <f t="shared" si="198"/>
        <v>577</v>
      </c>
      <c r="D578" s="277" t="s">
        <v>1742</v>
      </c>
      <c r="E578" s="293">
        <f t="shared" si="247"/>
        <v>576</v>
      </c>
      <c r="F578" s="267" t="s">
        <v>44</v>
      </c>
      <c r="G578" s="267"/>
      <c r="H578" s="316">
        <v>50</v>
      </c>
      <c r="I578" s="316"/>
      <c r="J578" s="316">
        <v>1550</v>
      </c>
      <c r="K578" s="322" t="s">
        <v>1833</v>
      </c>
      <c r="L578" s="367" t="str">
        <f t="shared" ref="L578:L581" si="275">J578&amp;" "&amp;K578</f>
        <v>1550 mm id</v>
      </c>
      <c r="M578" s="319">
        <v>1</v>
      </c>
      <c r="N578" s="271" t="s">
        <v>81</v>
      </c>
      <c r="O578" s="297">
        <f>LEFT(L578,SEARCH(" ",L578,1)-1)*1.28*3.142/1000</f>
        <v>6.2337280000000002</v>
      </c>
      <c r="P578" s="271" t="s">
        <v>139</v>
      </c>
      <c r="Q578" s="324">
        <f>VLOOKUP(H578,BM!$B$3:$Y$62,2,FALSE)</f>
        <v>0.1</v>
      </c>
      <c r="R578" s="271" t="s">
        <v>112</v>
      </c>
      <c r="S578" s="290">
        <f t="shared" si="244"/>
        <v>0.62337280000000006</v>
      </c>
      <c r="T578" s="275">
        <v>1</v>
      </c>
      <c r="U578" s="290">
        <f t="shared" si="246"/>
        <v>1.62</v>
      </c>
      <c r="V578" s="276" t="s">
        <v>48</v>
      </c>
    </row>
    <row r="579" spans="1:22" s="172" customFormat="1" ht="20.25" customHeight="1">
      <c r="A579" s="263" t="str">
        <f t="shared" si="239"/>
        <v/>
      </c>
      <c r="B579" s="263"/>
      <c r="C579" s="264">
        <f t="shared" si="198"/>
        <v>578</v>
      </c>
      <c r="D579" s="277" t="s">
        <v>1743</v>
      </c>
      <c r="E579" s="293">
        <f t="shared" si="247"/>
        <v>577</v>
      </c>
      <c r="F579" s="267" t="s">
        <v>44</v>
      </c>
      <c r="G579" s="267"/>
      <c r="H579" s="315">
        <v>50</v>
      </c>
      <c r="I579" s="315"/>
      <c r="J579" s="316">
        <v>1550</v>
      </c>
      <c r="K579" s="322" t="s">
        <v>1833</v>
      </c>
      <c r="L579" s="367" t="str">
        <f t="shared" si="275"/>
        <v>1550 mm id</v>
      </c>
      <c r="M579" s="319">
        <v>1</v>
      </c>
      <c r="N579" s="271" t="s">
        <v>81</v>
      </c>
      <c r="O579" s="318">
        <v>1</v>
      </c>
      <c r="P579" s="271" t="s">
        <v>81</v>
      </c>
      <c r="Q579" s="325">
        <v>1</v>
      </c>
      <c r="R579" s="271" t="s">
        <v>162</v>
      </c>
      <c r="S579" s="290">
        <f t="shared" si="244"/>
        <v>1</v>
      </c>
      <c r="T579" s="275">
        <v>1</v>
      </c>
      <c r="U579" s="290">
        <f t="shared" si="246"/>
        <v>2</v>
      </c>
      <c r="V579" s="276" t="s">
        <v>48</v>
      </c>
    </row>
    <row r="580" spans="1:22" s="172" customFormat="1" ht="20.25" customHeight="1">
      <c r="A580" s="263" t="str">
        <f t="shared" si="239"/>
        <v/>
      </c>
      <c r="B580" s="263"/>
      <c r="C580" s="264">
        <f t="shared" ref="C580:C643" si="276">C579+1</f>
        <v>579</v>
      </c>
      <c r="D580" s="277" t="s">
        <v>1744</v>
      </c>
      <c r="E580" s="293">
        <f t="shared" si="247"/>
        <v>578</v>
      </c>
      <c r="F580" s="267" t="s">
        <v>52</v>
      </c>
      <c r="G580" s="267"/>
      <c r="H580" s="315">
        <v>50</v>
      </c>
      <c r="I580" s="315"/>
      <c r="J580" s="316">
        <v>1550</v>
      </c>
      <c r="K580" s="322" t="s">
        <v>1833</v>
      </c>
      <c r="L580" s="367" t="str">
        <f t="shared" si="275"/>
        <v>1550 mm id</v>
      </c>
      <c r="M580" s="319">
        <v>1</v>
      </c>
      <c r="N580" s="271" t="s">
        <v>81</v>
      </c>
      <c r="O580" s="297">
        <f>LEFT(L580,SEARCH(" ",L580,1)-1)*1.28*3.142/1000</f>
        <v>6.2337280000000002</v>
      </c>
      <c r="P580" s="271" t="s">
        <v>139</v>
      </c>
      <c r="Q580" s="324">
        <f>VLOOKUP(H580,BM!$B$3:$Y$62,3,FALSE)</f>
        <v>0.25</v>
      </c>
      <c r="R580" s="271" t="s">
        <v>112</v>
      </c>
      <c r="S580" s="290">
        <f t="shared" si="244"/>
        <v>1.558432</v>
      </c>
      <c r="T580" s="275">
        <v>1</v>
      </c>
      <c r="U580" s="290">
        <f t="shared" si="246"/>
        <v>2.56</v>
      </c>
      <c r="V580" s="276" t="s">
        <v>48</v>
      </c>
    </row>
    <row r="581" spans="1:22" s="172" customFormat="1" ht="20.25" customHeight="1">
      <c r="A581" s="263" t="str">
        <f t="shared" si="239"/>
        <v/>
      </c>
      <c r="B581" s="263"/>
      <c r="C581" s="264">
        <f t="shared" si="276"/>
        <v>580</v>
      </c>
      <c r="D581" s="277" t="s">
        <v>1745</v>
      </c>
      <c r="E581" s="293">
        <f t="shared" si="247"/>
        <v>579</v>
      </c>
      <c r="F581" s="267" t="s">
        <v>61</v>
      </c>
      <c r="G581" s="267"/>
      <c r="H581" s="308">
        <f>H578</f>
        <v>50</v>
      </c>
      <c r="I581" s="308"/>
      <c r="J581" s="316">
        <v>1550</v>
      </c>
      <c r="K581" s="322" t="s">
        <v>1833</v>
      </c>
      <c r="L581" s="367" t="str">
        <f t="shared" si="275"/>
        <v>1550 mm id</v>
      </c>
      <c r="M581" s="319">
        <v>1</v>
      </c>
      <c r="N581" s="271" t="s">
        <v>81</v>
      </c>
      <c r="O581" s="297">
        <f>LEFT(L581,SEARCH(" ",L581,1)-1)*1.28*3.142/1000</f>
        <v>6.2337280000000002</v>
      </c>
      <c r="P581" s="271" t="s">
        <v>139</v>
      </c>
      <c r="Q581" s="324">
        <f>VLOOKUP(H581,BM!$B$3:$Y$62,6,FALSE)</f>
        <v>1</v>
      </c>
      <c r="R581" s="271" t="s">
        <v>112</v>
      </c>
      <c r="S581" s="290">
        <f t="shared" si="244"/>
        <v>6.2337280000000002</v>
      </c>
      <c r="T581" s="275">
        <v>1</v>
      </c>
      <c r="U581" s="290">
        <f t="shared" si="246"/>
        <v>7.23</v>
      </c>
      <c r="V581" s="276" t="s">
        <v>48</v>
      </c>
    </row>
    <row r="582" spans="1:22" s="172" customFormat="1" ht="20.25" customHeight="1">
      <c r="A582" s="263">
        <f t="shared" si="239"/>
        <v>581</v>
      </c>
      <c r="B582" s="263" t="s">
        <v>1263</v>
      </c>
      <c r="C582" s="264">
        <f t="shared" si="276"/>
        <v>581</v>
      </c>
      <c r="D582" s="265" t="s">
        <v>1746</v>
      </c>
      <c r="E582" s="279">
        <f>C576</f>
        <v>575</v>
      </c>
      <c r="F582" s="267"/>
      <c r="G582" s="267"/>
      <c r="H582" s="268"/>
      <c r="I582" s="268"/>
      <c r="J582" s="269"/>
      <c r="K582" s="269"/>
      <c r="L582" s="269"/>
      <c r="M582" s="319"/>
      <c r="N582" s="271"/>
      <c r="O582" s="280"/>
      <c r="P582" s="271"/>
      <c r="Q582" s="281"/>
      <c r="R582" s="271"/>
      <c r="S582" s="312"/>
      <c r="T582" s="282"/>
      <c r="U582" s="312"/>
      <c r="V582" s="276"/>
    </row>
    <row r="583" spans="1:22" s="172" customFormat="1" ht="20.25" customHeight="1">
      <c r="A583" s="263" t="str">
        <f t="shared" si="239"/>
        <v/>
      </c>
      <c r="B583" s="263"/>
      <c r="C583" s="264">
        <f t="shared" si="276"/>
        <v>582</v>
      </c>
      <c r="D583" s="277" t="s">
        <v>1747</v>
      </c>
      <c r="E583" s="293"/>
      <c r="F583" s="267" t="s">
        <v>55</v>
      </c>
      <c r="G583" s="267"/>
      <c r="H583" s="308">
        <f>H581</f>
        <v>50</v>
      </c>
      <c r="I583" s="308"/>
      <c r="J583" s="317">
        <f>J580</f>
        <v>1550</v>
      </c>
      <c r="K583" s="317" t="str">
        <f>K580</f>
        <v>mm id</v>
      </c>
      <c r="L583" s="367" t="str">
        <f t="shared" ref="L583" si="277">J583&amp;" "&amp;K583</f>
        <v>1550 mm id</v>
      </c>
      <c r="M583" s="319">
        <v>1</v>
      </c>
      <c r="N583" s="271" t="s">
        <v>81</v>
      </c>
      <c r="O583" s="272">
        <v>1</v>
      </c>
      <c r="P583" s="296" t="s">
        <v>81</v>
      </c>
      <c r="Q583" s="273">
        <v>10</v>
      </c>
      <c r="R583" s="271" t="s">
        <v>41</v>
      </c>
      <c r="S583" s="290">
        <f t="shared" si="244"/>
        <v>10</v>
      </c>
      <c r="T583" s="275"/>
      <c r="U583" s="290">
        <f t="shared" si="246"/>
        <v>10</v>
      </c>
      <c r="V583" s="276" t="s">
        <v>42</v>
      </c>
    </row>
    <row r="584" spans="1:22" s="172" customFormat="1" ht="20.25" customHeight="1">
      <c r="A584" s="263" t="str">
        <f t="shared" si="239"/>
        <v/>
      </c>
      <c r="B584" s="263"/>
      <c r="C584" s="264">
        <f t="shared" si="276"/>
        <v>583</v>
      </c>
      <c r="D584" s="277" t="s">
        <v>1748</v>
      </c>
      <c r="E584" s="293">
        <f t="shared" si="247"/>
        <v>582</v>
      </c>
      <c r="F584" s="267" t="s">
        <v>44</v>
      </c>
      <c r="G584" s="267"/>
      <c r="H584" s="308">
        <f>H581</f>
        <v>50</v>
      </c>
      <c r="I584" s="308"/>
      <c r="J584" s="317">
        <f>J581</f>
        <v>1550</v>
      </c>
      <c r="K584" s="317" t="str">
        <f>K581</f>
        <v>mm id</v>
      </c>
      <c r="L584" s="367" t="str">
        <f t="shared" ref="L584" si="278">J584&amp;" "&amp;K584</f>
        <v>1550 mm id</v>
      </c>
      <c r="M584" s="319">
        <v>1</v>
      </c>
      <c r="N584" s="271" t="s">
        <v>81</v>
      </c>
      <c r="O584" s="272">
        <v>1</v>
      </c>
      <c r="P584" s="296" t="s">
        <v>81</v>
      </c>
      <c r="Q584" s="273">
        <v>1</v>
      </c>
      <c r="R584" s="271" t="s">
        <v>41</v>
      </c>
      <c r="S584" s="290">
        <f t="shared" si="244"/>
        <v>1</v>
      </c>
      <c r="T584" s="275"/>
      <c r="U584" s="290">
        <f t="shared" si="246"/>
        <v>1</v>
      </c>
      <c r="V584" s="276" t="s">
        <v>42</v>
      </c>
    </row>
    <row r="585" spans="1:22" s="172" customFormat="1" ht="20.25" customHeight="1">
      <c r="A585" s="263">
        <f t="shared" si="239"/>
        <v>584</v>
      </c>
      <c r="B585" s="263" t="s">
        <v>1263</v>
      </c>
      <c r="C585" s="264">
        <f t="shared" si="276"/>
        <v>584</v>
      </c>
      <c r="D585" s="265" t="s">
        <v>1749</v>
      </c>
      <c r="E585" s="279">
        <f>C582</f>
        <v>581</v>
      </c>
      <c r="F585" s="267"/>
      <c r="G585" s="267"/>
      <c r="H585" s="268"/>
      <c r="I585" s="268"/>
      <c r="J585" s="269"/>
      <c r="K585" s="269"/>
      <c r="L585" s="269"/>
      <c r="M585" s="319"/>
      <c r="N585" s="271"/>
      <c r="O585" s="280"/>
      <c r="P585" s="271"/>
      <c r="Q585" s="281"/>
      <c r="R585" s="271"/>
      <c r="S585" s="312"/>
      <c r="T585" s="282"/>
      <c r="U585" s="312"/>
      <c r="V585" s="276"/>
    </row>
    <row r="586" spans="1:22" s="172" customFormat="1" ht="20.25" customHeight="1">
      <c r="A586" s="263" t="str">
        <f t="shared" si="239"/>
        <v/>
      </c>
      <c r="B586" s="263"/>
      <c r="C586" s="264">
        <f t="shared" si="276"/>
        <v>585</v>
      </c>
      <c r="D586" s="277" t="s">
        <v>1750</v>
      </c>
      <c r="E586" s="293"/>
      <c r="F586" s="267" t="s">
        <v>44</v>
      </c>
      <c r="G586" s="267"/>
      <c r="H586" s="308">
        <f>H584</f>
        <v>50</v>
      </c>
      <c r="I586" s="308"/>
      <c r="J586" s="317">
        <f>J584</f>
        <v>1550</v>
      </c>
      <c r="K586" s="317" t="str">
        <f>K584</f>
        <v>mm id</v>
      </c>
      <c r="L586" s="367" t="str">
        <f t="shared" ref="L586" si="279">J586&amp;" "&amp;K586</f>
        <v>1550 mm id</v>
      </c>
      <c r="M586" s="319">
        <v>1</v>
      </c>
      <c r="N586" s="271" t="s">
        <v>81</v>
      </c>
      <c r="O586" s="272">
        <v>1</v>
      </c>
      <c r="P586" s="296" t="s">
        <v>81</v>
      </c>
      <c r="Q586" s="273">
        <v>4</v>
      </c>
      <c r="R586" s="271" t="s">
        <v>595</v>
      </c>
      <c r="S586" s="290">
        <f t="shared" si="244"/>
        <v>4</v>
      </c>
      <c r="T586" s="275"/>
      <c r="U586" s="290">
        <f t="shared" si="246"/>
        <v>4</v>
      </c>
      <c r="V586" s="276" t="s">
        <v>48</v>
      </c>
    </row>
    <row r="587" spans="1:22" s="172" customFormat="1" ht="20.25" customHeight="1">
      <c r="A587" s="263" t="str">
        <f t="shared" si="239"/>
        <v/>
      </c>
      <c r="B587" s="263"/>
      <c r="C587" s="264">
        <f t="shared" si="276"/>
        <v>586</v>
      </c>
      <c r="D587" s="277" t="s">
        <v>1749</v>
      </c>
      <c r="E587" s="293">
        <f t="shared" si="247"/>
        <v>585</v>
      </c>
      <c r="F587" s="267" t="s">
        <v>52</v>
      </c>
      <c r="G587" s="267"/>
      <c r="H587" s="308">
        <f>H584</f>
        <v>50</v>
      </c>
      <c r="I587" s="308"/>
      <c r="J587" s="317">
        <f>J584</f>
        <v>1550</v>
      </c>
      <c r="K587" s="317" t="str">
        <f>K584</f>
        <v>mm id</v>
      </c>
      <c r="L587" s="367" t="str">
        <f t="shared" ref="L587" si="280">J587&amp;" "&amp;K587</f>
        <v>1550 mm id</v>
      </c>
      <c r="M587" s="319">
        <v>1</v>
      </c>
      <c r="N587" s="271" t="s">
        <v>81</v>
      </c>
      <c r="O587" s="297">
        <f>LEFT(L587,SEARCH(" ",L587,1)-1)*1.28*3.142/1000</f>
        <v>6.2337280000000002</v>
      </c>
      <c r="P587" s="271" t="s">
        <v>249</v>
      </c>
      <c r="Q587" s="324">
        <f>VLOOKUP(H587,BM!$B$3:$Y$62,2,FALSE)</f>
        <v>0.1</v>
      </c>
      <c r="R587" s="271" t="s">
        <v>112</v>
      </c>
      <c r="S587" s="290">
        <f t="shared" si="244"/>
        <v>0.62337280000000006</v>
      </c>
      <c r="T587" s="275">
        <v>2</v>
      </c>
      <c r="U587" s="290">
        <f t="shared" si="246"/>
        <v>2.62</v>
      </c>
      <c r="V587" s="276" t="s">
        <v>48</v>
      </c>
    </row>
    <row r="588" spans="1:22" s="172" customFormat="1" ht="20.25" customHeight="1">
      <c r="A588" s="263">
        <f t="shared" si="239"/>
        <v>587</v>
      </c>
      <c r="B588" s="263" t="s">
        <v>1263</v>
      </c>
      <c r="C588" s="264">
        <f t="shared" si="276"/>
        <v>587</v>
      </c>
      <c r="D588" s="265" t="s">
        <v>1751</v>
      </c>
      <c r="E588" s="279">
        <f>C585</f>
        <v>584</v>
      </c>
      <c r="F588" s="267"/>
      <c r="G588" s="267"/>
      <c r="H588" s="268"/>
      <c r="I588" s="268"/>
      <c r="J588" s="269"/>
      <c r="K588" s="269"/>
      <c r="L588" s="269"/>
      <c r="M588" s="319"/>
      <c r="N588" s="271"/>
      <c r="O588" s="280"/>
      <c r="P588" s="271"/>
      <c r="Q588" s="281"/>
      <c r="R588" s="271"/>
      <c r="S588" s="312"/>
      <c r="T588" s="282"/>
      <c r="U588" s="312"/>
      <c r="V588" s="276"/>
    </row>
    <row r="589" spans="1:22" s="172" customFormat="1" ht="20.25" customHeight="1">
      <c r="A589" s="263" t="str">
        <f t="shared" si="239"/>
        <v/>
      </c>
      <c r="B589" s="263"/>
      <c r="C589" s="264">
        <f t="shared" si="276"/>
        <v>588</v>
      </c>
      <c r="D589" s="277" t="s">
        <v>1752</v>
      </c>
      <c r="E589" s="293"/>
      <c r="F589" s="267" t="s">
        <v>121</v>
      </c>
      <c r="G589" s="267"/>
      <c r="H589" s="315">
        <v>25</v>
      </c>
      <c r="I589" s="315"/>
      <c r="J589" s="317">
        <f>J587</f>
        <v>1550</v>
      </c>
      <c r="K589" s="317" t="str">
        <f>K587</f>
        <v>mm id</v>
      </c>
      <c r="L589" s="367" t="str">
        <f t="shared" ref="L589" si="281">J589&amp;" "&amp;K589</f>
        <v>1550 mm id</v>
      </c>
      <c r="M589" s="319">
        <v>1</v>
      </c>
      <c r="N589" s="271" t="s">
        <v>81</v>
      </c>
      <c r="O589" s="297">
        <f>LEFT(L589,SEARCH(" ",L589,1)-1)*1.28*3.142/1000</f>
        <v>6.2337280000000002</v>
      </c>
      <c r="P589" s="271" t="s">
        <v>249</v>
      </c>
      <c r="Q589" s="324">
        <f>VLOOKUP(H589,BM!$B$3:$Y$62,6,FALSE)</f>
        <v>1</v>
      </c>
      <c r="R589" s="271" t="s">
        <v>112</v>
      </c>
      <c r="S589" s="290">
        <f t="shared" si="244"/>
        <v>6.2337280000000002</v>
      </c>
      <c r="T589" s="275">
        <v>2</v>
      </c>
      <c r="U589" s="290">
        <f t="shared" si="246"/>
        <v>8.23</v>
      </c>
      <c r="V589" s="276" t="s">
        <v>48</v>
      </c>
    </row>
    <row r="590" spans="1:22" s="172" customFormat="1" ht="20.25" customHeight="1">
      <c r="A590" s="263">
        <f t="shared" si="239"/>
        <v>589</v>
      </c>
      <c r="B590" s="263" t="s">
        <v>1263</v>
      </c>
      <c r="C590" s="264">
        <f t="shared" si="276"/>
        <v>589</v>
      </c>
      <c r="D590" s="265" t="s">
        <v>1753</v>
      </c>
      <c r="E590" s="279" t="str">
        <f>CONCATENATE(C588,",",C13)</f>
        <v>587,12</v>
      </c>
      <c r="F590" s="267"/>
      <c r="G590" s="267"/>
      <c r="H590" s="268"/>
      <c r="I590" s="268"/>
      <c r="J590" s="269"/>
      <c r="K590" s="269"/>
      <c r="L590" s="269"/>
      <c r="M590" s="319"/>
      <c r="N590" s="271"/>
      <c r="O590" s="280"/>
      <c r="P590" s="271"/>
      <c r="Q590" s="281"/>
      <c r="R590" s="271"/>
      <c r="S590" s="312"/>
      <c r="T590" s="282"/>
      <c r="U590" s="312"/>
      <c r="V590" s="276"/>
    </row>
    <row r="591" spans="1:22" s="172" customFormat="1" ht="20.25" customHeight="1">
      <c r="A591" s="263" t="str">
        <f t="shared" si="239"/>
        <v/>
      </c>
      <c r="B591" s="263"/>
      <c r="C591" s="264">
        <f t="shared" si="276"/>
        <v>590</v>
      </c>
      <c r="D591" s="277" t="s">
        <v>1753</v>
      </c>
      <c r="E591" s="293"/>
      <c r="F591" s="267" t="s">
        <v>111</v>
      </c>
      <c r="G591" s="267"/>
      <c r="H591" s="308">
        <f>H589</f>
        <v>25</v>
      </c>
      <c r="I591" s="308"/>
      <c r="J591" s="317">
        <f>J589</f>
        <v>1550</v>
      </c>
      <c r="K591" s="317" t="str">
        <f>K589</f>
        <v>mm id</v>
      </c>
      <c r="L591" s="367" t="str">
        <f t="shared" ref="L591" si="282">J591&amp;" "&amp;K591</f>
        <v>1550 mm id</v>
      </c>
      <c r="M591" s="319">
        <v>1</v>
      </c>
      <c r="N591" s="271" t="s">
        <v>81</v>
      </c>
      <c r="O591" s="297">
        <f>LEFT(L591,SEARCH(" ",L591,1)-1)*1.28*3.142/1000</f>
        <v>6.2337280000000002</v>
      </c>
      <c r="P591" s="271" t="s">
        <v>249</v>
      </c>
      <c r="Q591" s="324">
        <f>VLOOKUP(H591,BM!$B$3:$Y$62,15,FALSE)</f>
        <v>1</v>
      </c>
      <c r="R591" s="271" t="s">
        <v>112</v>
      </c>
      <c r="S591" s="290">
        <f t="shared" si="244"/>
        <v>6.2337280000000002</v>
      </c>
      <c r="T591" s="275">
        <v>2</v>
      </c>
      <c r="U591" s="290">
        <f t="shared" si="246"/>
        <v>8.23</v>
      </c>
      <c r="V591" s="276" t="s">
        <v>48</v>
      </c>
    </row>
    <row r="592" spans="1:22" s="172" customFormat="1" ht="20.25" customHeight="1">
      <c r="A592" s="263">
        <f t="shared" si="239"/>
        <v>591</v>
      </c>
      <c r="B592" s="263" t="s">
        <v>1263</v>
      </c>
      <c r="C592" s="264">
        <f t="shared" si="276"/>
        <v>591</v>
      </c>
      <c r="D592" s="265" t="s">
        <v>1754</v>
      </c>
      <c r="E592" s="279">
        <f>C590</f>
        <v>589</v>
      </c>
      <c r="F592" s="267"/>
      <c r="G592" s="267"/>
      <c r="H592" s="268"/>
      <c r="I592" s="268"/>
      <c r="J592" s="269"/>
      <c r="K592" s="269"/>
      <c r="L592" s="269"/>
      <c r="M592" s="319"/>
      <c r="N592" s="271"/>
      <c r="O592" s="280"/>
      <c r="P592" s="271"/>
      <c r="Q592" s="281"/>
      <c r="R592" s="271"/>
      <c r="S592" s="312"/>
      <c r="T592" s="282"/>
      <c r="U592" s="312"/>
      <c r="V592" s="276"/>
    </row>
    <row r="593" spans="1:22" s="172" customFormat="1" ht="20.25" customHeight="1">
      <c r="A593" s="263" t="str">
        <f t="shared" si="239"/>
        <v/>
      </c>
      <c r="B593" s="263"/>
      <c r="C593" s="264">
        <f t="shared" si="276"/>
        <v>592</v>
      </c>
      <c r="D593" s="277" t="s">
        <v>1754</v>
      </c>
      <c r="E593" s="293"/>
      <c r="F593" s="267" t="s">
        <v>115</v>
      </c>
      <c r="G593" s="267"/>
      <c r="H593" s="316">
        <v>30</v>
      </c>
      <c r="I593" s="316"/>
      <c r="J593" s="317">
        <f>J591</f>
        <v>1550</v>
      </c>
      <c r="K593" s="317" t="str">
        <f>K591</f>
        <v>mm id</v>
      </c>
      <c r="L593" s="367" t="str">
        <f t="shared" ref="L593" si="283">J593&amp;" "&amp;K593</f>
        <v>1550 mm id</v>
      </c>
      <c r="M593" s="319">
        <v>1</v>
      </c>
      <c r="N593" s="271" t="s">
        <v>81</v>
      </c>
      <c r="O593" s="297">
        <f>LEFT(L593,SEARCH(" ",L593,1)-1)*1.28*3.142/1000</f>
        <v>6.2337280000000002</v>
      </c>
      <c r="P593" s="271" t="s">
        <v>249</v>
      </c>
      <c r="Q593" s="324">
        <f>VLOOKUP(H593,BM!$B$3:$Y$62,23,FALSE)</f>
        <v>16.8</v>
      </c>
      <c r="R593" s="271" t="s">
        <v>112</v>
      </c>
      <c r="S593" s="290">
        <f t="shared" si="244"/>
        <v>104.7266304</v>
      </c>
      <c r="T593" s="275">
        <v>2</v>
      </c>
      <c r="U593" s="290">
        <f t="shared" si="246"/>
        <v>106.73</v>
      </c>
      <c r="V593" s="276" t="s">
        <v>48</v>
      </c>
    </row>
    <row r="594" spans="1:22" s="172" customFormat="1" ht="20.25" customHeight="1">
      <c r="A594" s="263" t="str">
        <f t="shared" si="239"/>
        <v/>
      </c>
      <c r="B594" s="263"/>
      <c r="C594" s="264">
        <f t="shared" si="276"/>
        <v>593</v>
      </c>
      <c r="D594" s="277" t="s">
        <v>1755</v>
      </c>
      <c r="E594" s="293">
        <f>C593</f>
        <v>592</v>
      </c>
      <c r="F594" s="267" t="s">
        <v>299</v>
      </c>
      <c r="G594" s="267"/>
      <c r="H594" s="316">
        <v>16</v>
      </c>
      <c r="I594" s="316"/>
      <c r="J594" s="317">
        <f>J593</f>
        <v>1550</v>
      </c>
      <c r="K594" s="317" t="str">
        <f>K593</f>
        <v>mm id</v>
      </c>
      <c r="L594" s="367" t="str">
        <f t="shared" ref="L594" si="284">J594&amp;" "&amp;K594</f>
        <v>1550 mm id</v>
      </c>
      <c r="M594" s="319">
        <v>1</v>
      </c>
      <c r="N594" s="271" t="s">
        <v>81</v>
      </c>
      <c r="O594" s="272">
        <v>1</v>
      </c>
      <c r="P594" s="296" t="s">
        <v>81</v>
      </c>
      <c r="Q594" s="273">
        <v>4</v>
      </c>
      <c r="R594" s="271" t="s">
        <v>112</v>
      </c>
      <c r="S594" s="290">
        <f t="shared" si="244"/>
        <v>4</v>
      </c>
      <c r="T594" s="275">
        <v>1</v>
      </c>
      <c r="U594" s="290">
        <f t="shared" si="246"/>
        <v>5</v>
      </c>
      <c r="V594" s="276" t="s">
        <v>48</v>
      </c>
    </row>
    <row r="595" spans="1:22" s="172" customFormat="1" ht="20.25" customHeight="1">
      <c r="A595" s="263" t="str">
        <f t="shared" si="239"/>
        <v/>
      </c>
      <c r="B595" s="263"/>
      <c r="C595" s="264">
        <f t="shared" si="276"/>
        <v>594</v>
      </c>
      <c r="D595" s="277" t="s">
        <v>1756</v>
      </c>
      <c r="E595" s="293">
        <f t="shared" si="247"/>
        <v>593</v>
      </c>
      <c r="F595" s="267" t="s">
        <v>115</v>
      </c>
      <c r="G595" s="267"/>
      <c r="H595" s="316">
        <v>16</v>
      </c>
      <c r="I595" s="316"/>
      <c r="J595" s="316">
        <v>3000</v>
      </c>
      <c r="K595" s="322" t="s">
        <v>1833</v>
      </c>
      <c r="L595" s="367" t="str">
        <f>J595&amp;" "&amp;K595</f>
        <v>3000 mm id</v>
      </c>
      <c r="M595" s="319">
        <v>1</v>
      </c>
      <c r="N595" s="271" t="s">
        <v>81</v>
      </c>
      <c r="O595" s="297">
        <f>LEFT(L595,SEARCH(" ",L595,1)-1)/1000</f>
        <v>3</v>
      </c>
      <c r="P595" s="271" t="s">
        <v>249</v>
      </c>
      <c r="Q595" s="324">
        <f>VLOOKUP(H595,BM!$B$3:$Y$62,22,FALSE)</f>
        <v>2.8</v>
      </c>
      <c r="R595" s="271" t="s">
        <v>112</v>
      </c>
      <c r="S595" s="290">
        <f t="shared" si="244"/>
        <v>8.3999999999999986</v>
      </c>
      <c r="T595" s="275">
        <v>2</v>
      </c>
      <c r="U595" s="290">
        <f t="shared" si="246"/>
        <v>10.4</v>
      </c>
      <c r="V595" s="276" t="s">
        <v>48</v>
      </c>
    </row>
    <row r="596" spans="1:22" s="172" customFormat="1" ht="20.25" customHeight="1">
      <c r="A596" s="263" t="str">
        <f t="shared" si="239"/>
        <v/>
      </c>
      <c r="B596" s="263"/>
      <c r="C596" s="264">
        <f t="shared" si="276"/>
        <v>595</v>
      </c>
      <c r="D596" s="277" t="s">
        <v>1757</v>
      </c>
      <c r="E596" s="293">
        <f t="shared" si="247"/>
        <v>594</v>
      </c>
      <c r="F596" s="267" t="s">
        <v>44</v>
      </c>
      <c r="G596" s="267"/>
      <c r="H596" s="316">
        <v>16</v>
      </c>
      <c r="I596" s="316"/>
      <c r="J596" s="317">
        <f>J595</f>
        <v>3000</v>
      </c>
      <c r="K596" s="317" t="str">
        <f>K595</f>
        <v>mm id</v>
      </c>
      <c r="L596" s="367" t="str">
        <f t="shared" ref="L596" si="285">J596&amp;" "&amp;K596</f>
        <v>3000 mm id</v>
      </c>
      <c r="M596" s="319">
        <v>1</v>
      </c>
      <c r="N596" s="271" t="s">
        <v>81</v>
      </c>
      <c r="O596" s="272">
        <v>1</v>
      </c>
      <c r="P596" s="296" t="s">
        <v>81</v>
      </c>
      <c r="Q596" s="273">
        <v>6</v>
      </c>
      <c r="R596" s="271" t="s">
        <v>112</v>
      </c>
      <c r="S596" s="290">
        <f t="shared" si="244"/>
        <v>6</v>
      </c>
      <c r="T596" s="275">
        <v>1</v>
      </c>
      <c r="U596" s="290">
        <f t="shared" si="246"/>
        <v>7</v>
      </c>
      <c r="V596" s="276" t="s">
        <v>48</v>
      </c>
    </row>
    <row r="597" spans="1:22" s="172" customFormat="1" ht="20.25" customHeight="1">
      <c r="A597" s="263" t="str">
        <f t="shared" si="239"/>
        <v/>
      </c>
      <c r="B597" s="263"/>
      <c r="C597" s="264">
        <f t="shared" si="276"/>
        <v>596</v>
      </c>
      <c r="D597" s="277" t="s">
        <v>1758</v>
      </c>
      <c r="E597" s="293">
        <f t="shared" si="247"/>
        <v>595</v>
      </c>
      <c r="F597" s="267" t="s">
        <v>63</v>
      </c>
      <c r="G597" s="267"/>
      <c r="H597" s="316">
        <v>16</v>
      </c>
      <c r="I597" s="316"/>
      <c r="J597" s="317">
        <f>J596</f>
        <v>3000</v>
      </c>
      <c r="K597" s="317" t="str">
        <f>K596</f>
        <v>mm id</v>
      </c>
      <c r="L597" s="367" t="str">
        <f t="shared" ref="L597" si="286">J597&amp;" "&amp;K597</f>
        <v>3000 mm id</v>
      </c>
      <c r="M597" s="319">
        <v>1</v>
      </c>
      <c r="N597" s="271" t="s">
        <v>81</v>
      </c>
      <c r="O597" s="272">
        <v>1</v>
      </c>
      <c r="P597" s="296" t="s">
        <v>81</v>
      </c>
      <c r="Q597" s="273">
        <v>1</v>
      </c>
      <c r="R597" s="271" t="s">
        <v>112</v>
      </c>
      <c r="S597" s="290">
        <f t="shared" si="244"/>
        <v>1</v>
      </c>
      <c r="T597" s="275">
        <v>1</v>
      </c>
      <c r="U597" s="290">
        <f t="shared" si="246"/>
        <v>2</v>
      </c>
      <c r="V597" s="276" t="s">
        <v>48</v>
      </c>
    </row>
    <row r="598" spans="1:22" s="172" customFormat="1" ht="20.25" customHeight="1">
      <c r="A598" s="263">
        <f t="shared" si="239"/>
        <v>597</v>
      </c>
      <c r="B598" s="263" t="s">
        <v>1263</v>
      </c>
      <c r="C598" s="264">
        <f t="shared" si="276"/>
        <v>597</v>
      </c>
      <c r="D598" s="265" t="s">
        <v>1759</v>
      </c>
      <c r="E598" s="279">
        <f>C592</f>
        <v>591</v>
      </c>
      <c r="F598" s="267"/>
      <c r="G598" s="267"/>
      <c r="H598" s="268"/>
      <c r="I598" s="268"/>
      <c r="J598" s="269"/>
      <c r="K598" s="269"/>
      <c r="L598" s="269"/>
      <c r="M598" s="319"/>
      <c r="N598" s="271"/>
      <c r="O598" s="280"/>
      <c r="P598" s="271"/>
      <c r="Q598" s="281"/>
      <c r="R598" s="271"/>
      <c r="S598" s="312"/>
      <c r="T598" s="282"/>
      <c r="U598" s="312"/>
      <c r="V598" s="276"/>
    </row>
    <row r="599" spans="1:22" s="172" customFormat="1" ht="20.25" customHeight="1">
      <c r="A599" s="263" t="str">
        <f t="shared" si="239"/>
        <v/>
      </c>
      <c r="B599" s="263"/>
      <c r="C599" s="264">
        <f t="shared" si="276"/>
        <v>598</v>
      </c>
      <c r="D599" s="277" t="s">
        <v>1760</v>
      </c>
      <c r="E599" s="293"/>
      <c r="F599" s="267" t="s">
        <v>55</v>
      </c>
      <c r="G599" s="267"/>
      <c r="H599" s="268"/>
      <c r="I599" s="268"/>
      <c r="J599" s="317">
        <f>J594</f>
        <v>1550</v>
      </c>
      <c r="K599" s="317" t="str">
        <f>K594</f>
        <v>mm id</v>
      </c>
      <c r="L599" s="367" t="str">
        <f t="shared" ref="L599" si="287">J599&amp;" "&amp;K599</f>
        <v>1550 mm id</v>
      </c>
      <c r="M599" s="319">
        <v>1</v>
      </c>
      <c r="N599" s="271" t="s">
        <v>81</v>
      </c>
      <c r="O599" s="272">
        <v>1</v>
      </c>
      <c r="P599" s="296" t="s">
        <v>81</v>
      </c>
      <c r="Q599" s="273">
        <v>3</v>
      </c>
      <c r="R599" s="271" t="s">
        <v>41</v>
      </c>
      <c r="S599" s="290">
        <f t="shared" si="244"/>
        <v>3</v>
      </c>
      <c r="T599" s="275">
        <v>0</v>
      </c>
      <c r="U599" s="290">
        <f t="shared" si="246"/>
        <v>3</v>
      </c>
      <c r="V599" s="276" t="s">
        <v>48</v>
      </c>
    </row>
    <row r="600" spans="1:22" s="172" customFormat="1" ht="20.25" customHeight="1">
      <c r="A600" s="263" t="str">
        <f t="shared" si="239"/>
        <v/>
      </c>
      <c r="B600" s="263"/>
      <c r="C600" s="264">
        <f t="shared" si="276"/>
        <v>599</v>
      </c>
      <c r="D600" s="277" t="s">
        <v>1761</v>
      </c>
      <c r="E600" s="293">
        <f t="shared" si="247"/>
        <v>598</v>
      </c>
      <c r="F600" s="267" t="s">
        <v>55</v>
      </c>
      <c r="G600" s="267"/>
      <c r="H600" s="268"/>
      <c r="I600" s="268"/>
      <c r="J600" s="317">
        <f>J599</f>
        <v>1550</v>
      </c>
      <c r="K600" s="317" t="str">
        <f>K599</f>
        <v>mm id</v>
      </c>
      <c r="L600" s="367" t="str">
        <f t="shared" ref="L600" si="288">J600&amp;" "&amp;K600</f>
        <v>1550 mm id</v>
      </c>
      <c r="M600" s="319">
        <v>1</v>
      </c>
      <c r="N600" s="271" t="s">
        <v>81</v>
      </c>
      <c r="O600" s="272">
        <v>1</v>
      </c>
      <c r="P600" s="296" t="s">
        <v>81</v>
      </c>
      <c r="Q600" s="273">
        <v>4</v>
      </c>
      <c r="R600" s="271" t="s">
        <v>41</v>
      </c>
      <c r="S600" s="290">
        <f t="shared" si="244"/>
        <v>4</v>
      </c>
      <c r="T600" s="275">
        <v>0</v>
      </c>
      <c r="U600" s="290">
        <f t="shared" si="246"/>
        <v>4</v>
      </c>
      <c r="V600" s="276" t="s">
        <v>48</v>
      </c>
    </row>
    <row r="601" spans="1:22" s="172" customFormat="1" ht="20.25" customHeight="1">
      <c r="A601" s="263" t="str">
        <f t="shared" si="239"/>
        <v/>
      </c>
      <c r="B601" s="263"/>
      <c r="C601" s="264">
        <f t="shared" si="276"/>
        <v>600</v>
      </c>
      <c r="D601" s="277" t="s">
        <v>1762</v>
      </c>
      <c r="E601" s="293">
        <f t="shared" si="247"/>
        <v>599</v>
      </c>
      <c r="F601" s="267" t="s">
        <v>44</v>
      </c>
      <c r="G601" s="267"/>
      <c r="H601" s="268"/>
      <c r="I601" s="268"/>
      <c r="J601" s="317">
        <f>J600</f>
        <v>1550</v>
      </c>
      <c r="K601" s="317" t="str">
        <f>K600</f>
        <v>mm id</v>
      </c>
      <c r="L601" s="367" t="str">
        <f t="shared" ref="L601" si="289">J601&amp;" "&amp;K601</f>
        <v>1550 mm id</v>
      </c>
      <c r="M601" s="319">
        <v>1</v>
      </c>
      <c r="N601" s="271" t="s">
        <v>81</v>
      </c>
      <c r="O601" s="272">
        <v>1</v>
      </c>
      <c r="P601" s="296" t="s">
        <v>81</v>
      </c>
      <c r="Q601" s="273">
        <v>0.5</v>
      </c>
      <c r="R601" s="271" t="s">
        <v>41</v>
      </c>
      <c r="S601" s="290">
        <f t="shared" si="244"/>
        <v>0.5</v>
      </c>
      <c r="T601" s="275">
        <v>0</v>
      </c>
      <c r="U601" s="290">
        <f t="shared" si="246"/>
        <v>0.5</v>
      </c>
      <c r="V601" s="276" t="s">
        <v>48</v>
      </c>
    </row>
    <row r="602" spans="1:22" s="172" customFormat="1" ht="20.25" customHeight="1">
      <c r="A602" s="263" t="str">
        <f t="shared" si="239"/>
        <v/>
      </c>
      <c r="B602" s="263"/>
      <c r="C602" s="264">
        <f t="shared" si="276"/>
        <v>601</v>
      </c>
      <c r="D602" s="277" t="s">
        <v>1763</v>
      </c>
      <c r="E602" s="293">
        <f t="shared" si="247"/>
        <v>600</v>
      </c>
      <c r="F602" s="267" t="s">
        <v>55</v>
      </c>
      <c r="G602" s="267"/>
      <c r="H602" s="316">
        <v>140</v>
      </c>
      <c r="I602" s="322" t="s">
        <v>1831</v>
      </c>
      <c r="J602" s="317">
        <f>J601</f>
        <v>1550</v>
      </c>
      <c r="K602" s="317" t="str">
        <f>K601</f>
        <v>mm id</v>
      </c>
      <c r="L602" s="367" t="str">
        <f t="shared" ref="L602" si="290">J602&amp;" "&amp;K602</f>
        <v>1550 mm id</v>
      </c>
      <c r="M602" s="319">
        <v>72</v>
      </c>
      <c r="N602" s="296" t="s">
        <v>1275</v>
      </c>
      <c r="O602" s="272">
        <v>1</v>
      </c>
      <c r="P602" s="296" t="s">
        <v>81</v>
      </c>
      <c r="Q602" s="273">
        <v>4</v>
      </c>
      <c r="R602" s="271" t="s">
        <v>41</v>
      </c>
      <c r="S602" s="290">
        <f t="shared" si="244"/>
        <v>4</v>
      </c>
      <c r="T602" s="275">
        <v>0</v>
      </c>
      <c r="U602" s="290">
        <f t="shared" si="246"/>
        <v>4</v>
      </c>
      <c r="V602" s="276" t="s">
        <v>48</v>
      </c>
    </row>
    <row r="603" spans="1:22" s="172" customFormat="1" ht="20.25" customHeight="1">
      <c r="A603" s="263" t="str">
        <f t="shared" si="239"/>
        <v/>
      </c>
      <c r="B603" s="263"/>
      <c r="C603" s="264">
        <f t="shared" si="276"/>
        <v>602</v>
      </c>
      <c r="D603" s="277" t="s">
        <v>1764</v>
      </c>
      <c r="E603" s="293">
        <f t="shared" si="247"/>
        <v>601</v>
      </c>
      <c r="F603" s="267" t="s">
        <v>44</v>
      </c>
      <c r="G603" s="267"/>
      <c r="H603" s="316">
        <v>140</v>
      </c>
      <c r="I603" s="322" t="s">
        <v>1831</v>
      </c>
      <c r="J603" s="317">
        <f>J602</f>
        <v>1550</v>
      </c>
      <c r="K603" s="317" t="str">
        <f>K602</f>
        <v>mm id</v>
      </c>
      <c r="L603" s="367" t="str">
        <f t="shared" ref="L603" si="291">J603&amp;" "&amp;K603</f>
        <v>1550 mm id</v>
      </c>
      <c r="M603" s="319">
        <v>1</v>
      </c>
      <c r="N603" s="296" t="s">
        <v>81</v>
      </c>
      <c r="O603" s="272">
        <v>1</v>
      </c>
      <c r="P603" s="296" t="s">
        <v>81</v>
      </c>
      <c r="Q603" s="273">
        <v>1</v>
      </c>
      <c r="R603" s="271" t="s">
        <v>41</v>
      </c>
      <c r="S603" s="290">
        <f t="shared" si="244"/>
        <v>1</v>
      </c>
      <c r="T603" s="275">
        <v>0</v>
      </c>
      <c r="U603" s="290">
        <f t="shared" si="246"/>
        <v>1</v>
      </c>
      <c r="V603" s="276" t="s">
        <v>48</v>
      </c>
    </row>
    <row r="604" spans="1:22" s="172" customFormat="1" ht="20.25" customHeight="1">
      <c r="A604" s="263">
        <f t="shared" ref="A604:A667" si="292">IF(B604="Yes",C604,"")</f>
        <v>603</v>
      </c>
      <c r="B604" s="263" t="s">
        <v>1263</v>
      </c>
      <c r="C604" s="264">
        <f t="shared" si="276"/>
        <v>603</v>
      </c>
      <c r="D604" s="265" t="s">
        <v>1765</v>
      </c>
      <c r="E604" s="279"/>
      <c r="F604" s="267"/>
      <c r="G604" s="267"/>
      <c r="H604" s="268"/>
      <c r="I604" s="268"/>
      <c r="J604" s="269"/>
      <c r="K604" s="269"/>
      <c r="L604" s="269"/>
      <c r="M604" s="319"/>
      <c r="N604" s="271"/>
      <c r="O604" s="280"/>
      <c r="P604" s="271"/>
      <c r="Q604" s="281"/>
      <c r="R604" s="271"/>
      <c r="S604" s="312"/>
      <c r="T604" s="282"/>
      <c r="U604" s="312"/>
      <c r="V604" s="276"/>
    </row>
    <row r="605" spans="1:22" s="172" customFormat="1" ht="20.25" customHeight="1">
      <c r="A605" s="263">
        <f t="shared" si="292"/>
        <v>604</v>
      </c>
      <c r="B605" s="263" t="s">
        <v>1263</v>
      </c>
      <c r="C605" s="264">
        <f t="shared" si="276"/>
        <v>604</v>
      </c>
      <c r="D605" s="265" t="s">
        <v>1766</v>
      </c>
      <c r="E605" s="279" t="str">
        <f>CONCATENATE(C47,",",C178)</f>
        <v>46,177</v>
      </c>
      <c r="F605" s="267"/>
      <c r="G605" s="267"/>
      <c r="H605" s="268"/>
      <c r="I605" s="268"/>
      <c r="J605" s="269"/>
      <c r="K605" s="269"/>
      <c r="L605" s="269"/>
      <c r="M605" s="319"/>
      <c r="N605" s="271"/>
      <c r="O605" s="280"/>
      <c r="P605" s="271"/>
      <c r="Q605" s="281"/>
      <c r="R605" s="271"/>
      <c r="S605" s="312"/>
      <c r="T605" s="282"/>
      <c r="U605" s="312"/>
      <c r="V605" s="276"/>
    </row>
    <row r="606" spans="1:22" s="172" customFormat="1" ht="20.25" customHeight="1">
      <c r="A606" s="263" t="str">
        <f t="shared" si="292"/>
        <v/>
      </c>
      <c r="B606" s="263"/>
      <c r="C606" s="264">
        <f t="shared" si="276"/>
        <v>605</v>
      </c>
      <c r="D606" s="277" t="s">
        <v>1767</v>
      </c>
      <c r="E606" s="293"/>
      <c r="F606" s="267" t="s">
        <v>616</v>
      </c>
      <c r="G606" s="267"/>
      <c r="H606" s="316">
        <v>145</v>
      </c>
      <c r="I606" s="316"/>
      <c r="J606" s="316">
        <v>1308</v>
      </c>
      <c r="K606" s="322" t="s">
        <v>1837</v>
      </c>
      <c r="L606" s="367" t="str">
        <f t="shared" ref="L606:L607" si="293">J606&amp;" "&amp;K606</f>
        <v>1308 tube</v>
      </c>
      <c r="M606" s="319"/>
      <c r="N606" s="271"/>
      <c r="O606" s="272">
        <v>1</v>
      </c>
      <c r="P606" s="271"/>
      <c r="Q606" s="273">
        <v>1.5</v>
      </c>
      <c r="R606" s="271" t="s">
        <v>41</v>
      </c>
      <c r="S606" s="290">
        <f t="shared" ref="S606:S643" si="294">O606*Q606</f>
        <v>1.5</v>
      </c>
      <c r="T606" s="275">
        <v>0</v>
      </c>
      <c r="U606" s="290">
        <f t="shared" ref="U606:U669" si="295">ROUND(S606+T606,2)</f>
        <v>1.5</v>
      </c>
      <c r="V606" s="276" t="s">
        <v>48</v>
      </c>
    </row>
    <row r="607" spans="1:22" s="172" customFormat="1" ht="20.25" customHeight="1">
      <c r="A607" s="263" t="str">
        <f t="shared" si="292"/>
        <v/>
      </c>
      <c r="B607" s="263"/>
      <c r="C607" s="264">
        <f t="shared" si="276"/>
        <v>606</v>
      </c>
      <c r="D607" s="277" t="s">
        <v>1768</v>
      </c>
      <c r="E607" s="293">
        <f t="shared" ref="E607:E643" si="296">C606</f>
        <v>605</v>
      </c>
      <c r="F607" s="267" t="s">
        <v>620</v>
      </c>
      <c r="G607" s="267"/>
      <c r="H607" s="268"/>
      <c r="I607" s="268"/>
      <c r="J607" s="316">
        <v>19</v>
      </c>
      <c r="K607" s="322" t="s">
        <v>1838</v>
      </c>
      <c r="L607" s="367" t="str">
        <f t="shared" si="293"/>
        <v>19 baffle</v>
      </c>
      <c r="M607" s="319">
        <v>1</v>
      </c>
      <c r="N607" s="271" t="s">
        <v>81</v>
      </c>
      <c r="O607" s="272">
        <v>19</v>
      </c>
      <c r="P607" s="271" t="s">
        <v>81</v>
      </c>
      <c r="Q607" s="273">
        <v>0.5</v>
      </c>
      <c r="R607" s="271" t="s">
        <v>112</v>
      </c>
      <c r="S607" s="290">
        <f t="shared" si="294"/>
        <v>9.5</v>
      </c>
      <c r="T607" s="275">
        <v>1</v>
      </c>
      <c r="U607" s="290">
        <f t="shared" si="295"/>
        <v>10.5</v>
      </c>
      <c r="V607" s="276" t="s">
        <v>48</v>
      </c>
    </row>
    <row r="608" spans="1:22" s="172" customFormat="1" ht="20.25" customHeight="1">
      <c r="A608" s="263">
        <f t="shared" si="292"/>
        <v>607</v>
      </c>
      <c r="B608" s="263" t="s">
        <v>1263</v>
      </c>
      <c r="C608" s="264">
        <f t="shared" si="276"/>
        <v>607</v>
      </c>
      <c r="D608" s="265" t="s">
        <v>1769</v>
      </c>
      <c r="E608" s="279" t="str">
        <f>CONCATENATE(C605,",",412)</f>
        <v>604,412</v>
      </c>
      <c r="F608" s="267"/>
      <c r="G608" s="267"/>
      <c r="H608" s="268"/>
      <c r="I608" s="268"/>
      <c r="J608" s="269"/>
      <c r="K608" s="269"/>
      <c r="L608" s="269"/>
      <c r="M608" s="319"/>
      <c r="N608" s="271"/>
      <c r="O608" s="280"/>
      <c r="P608" s="271"/>
      <c r="Q608" s="281"/>
      <c r="R608" s="271"/>
      <c r="S608" s="312"/>
      <c r="T608" s="282"/>
      <c r="U608" s="312"/>
      <c r="V608" s="276"/>
    </row>
    <row r="609" spans="1:22" s="172" customFormat="1" ht="20.25" customHeight="1">
      <c r="A609" s="263" t="str">
        <f t="shared" si="292"/>
        <v/>
      </c>
      <c r="B609" s="263"/>
      <c r="C609" s="264">
        <f t="shared" si="276"/>
        <v>608</v>
      </c>
      <c r="D609" s="277" t="s">
        <v>1769</v>
      </c>
      <c r="E609" s="293"/>
      <c r="F609" s="267" t="s">
        <v>623</v>
      </c>
      <c r="G609" s="267"/>
      <c r="H609" s="316">
        <v>25.4</v>
      </c>
      <c r="I609" s="322" t="s">
        <v>1847</v>
      </c>
      <c r="J609" s="316">
        <v>7000</v>
      </c>
      <c r="K609" s="322" t="s">
        <v>1835</v>
      </c>
      <c r="L609" s="367" t="str">
        <f t="shared" ref="L609:L611" si="297">J609&amp;" "&amp;K609</f>
        <v>7000 lg</v>
      </c>
      <c r="M609" s="319">
        <v>654</v>
      </c>
      <c r="N609" s="271" t="s">
        <v>81</v>
      </c>
      <c r="O609" s="327">
        <f>M609</f>
        <v>654</v>
      </c>
      <c r="P609" s="271" t="s">
        <v>81</v>
      </c>
      <c r="Q609" s="324">
        <f>1/60*5</f>
        <v>8.3333333333333329E-2</v>
      </c>
      <c r="R609" s="271" t="s">
        <v>87</v>
      </c>
      <c r="S609" s="290">
        <f t="shared" si="294"/>
        <v>54.5</v>
      </c>
      <c r="T609" s="275">
        <v>1</v>
      </c>
      <c r="U609" s="290">
        <f t="shared" si="295"/>
        <v>55.5</v>
      </c>
      <c r="V609" s="276" t="s">
        <v>48</v>
      </c>
    </row>
    <row r="610" spans="1:22" s="172" customFormat="1" ht="20.25" customHeight="1">
      <c r="A610" s="263" t="str">
        <f t="shared" si="292"/>
        <v/>
      </c>
      <c r="B610" s="263"/>
      <c r="C610" s="264">
        <f t="shared" si="276"/>
        <v>609</v>
      </c>
      <c r="D610" s="277" t="s">
        <v>1770</v>
      </c>
      <c r="E610" s="293">
        <f t="shared" si="296"/>
        <v>608</v>
      </c>
      <c r="F610" s="267" t="s">
        <v>626</v>
      </c>
      <c r="G610" s="267"/>
      <c r="H610" s="316">
        <v>25.4</v>
      </c>
      <c r="I610" s="322" t="s">
        <v>1847</v>
      </c>
      <c r="J610" s="316">
        <v>5134</v>
      </c>
      <c r="K610" s="322" t="s">
        <v>1835</v>
      </c>
      <c r="L610" s="367" t="str">
        <f t="shared" si="297"/>
        <v>5134 lg</v>
      </c>
      <c r="M610" s="319">
        <v>14</v>
      </c>
      <c r="N610" s="271" t="s">
        <v>81</v>
      </c>
      <c r="O610" s="327">
        <f>M610</f>
        <v>14</v>
      </c>
      <c r="P610" s="271" t="s">
        <v>81</v>
      </c>
      <c r="Q610" s="325">
        <v>0.5</v>
      </c>
      <c r="R610" s="271" t="s">
        <v>87</v>
      </c>
      <c r="S610" s="290">
        <f t="shared" si="294"/>
        <v>7</v>
      </c>
      <c r="T610" s="275">
        <v>1</v>
      </c>
      <c r="U610" s="290">
        <f t="shared" si="295"/>
        <v>8</v>
      </c>
      <c r="V610" s="276" t="s">
        <v>48</v>
      </c>
    </row>
    <row r="611" spans="1:22" s="172" customFormat="1" ht="20.25" customHeight="1">
      <c r="A611" s="263" t="str">
        <f t="shared" si="292"/>
        <v/>
      </c>
      <c r="B611" s="263"/>
      <c r="C611" s="264">
        <f t="shared" si="276"/>
        <v>610</v>
      </c>
      <c r="D611" s="277" t="s">
        <v>1769</v>
      </c>
      <c r="E611" s="293">
        <f t="shared" si="296"/>
        <v>609</v>
      </c>
      <c r="F611" s="267" t="s">
        <v>623</v>
      </c>
      <c r="G611" s="267"/>
      <c r="H611" s="316">
        <v>25.4</v>
      </c>
      <c r="I611" s="322" t="s">
        <v>1847</v>
      </c>
      <c r="J611" s="317">
        <f>J609</f>
        <v>7000</v>
      </c>
      <c r="K611" s="317" t="str">
        <f>K609</f>
        <v>lg</v>
      </c>
      <c r="L611" s="367" t="str">
        <f t="shared" si="297"/>
        <v>7000 lg</v>
      </c>
      <c r="M611" s="319">
        <v>654</v>
      </c>
      <c r="N611" s="271" t="s">
        <v>81</v>
      </c>
      <c r="O611" s="327">
        <f>M611</f>
        <v>654</v>
      </c>
      <c r="P611" s="271" t="s">
        <v>81</v>
      </c>
      <c r="Q611" s="324">
        <f>1/60*5</f>
        <v>8.3333333333333329E-2</v>
      </c>
      <c r="R611" s="271" t="s">
        <v>87</v>
      </c>
      <c r="S611" s="290">
        <f t="shared" si="294"/>
        <v>54.5</v>
      </c>
      <c r="T611" s="275">
        <v>1</v>
      </c>
      <c r="U611" s="290">
        <f t="shared" si="295"/>
        <v>55.5</v>
      </c>
      <c r="V611" s="276" t="s">
        <v>48</v>
      </c>
    </row>
    <row r="612" spans="1:22" s="172" customFormat="1" ht="20.25" customHeight="1">
      <c r="A612" s="263">
        <f t="shared" si="292"/>
        <v>611</v>
      </c>
      <c r="B612" s="263" t="s">
        <v>1263</v>
      </c>
      <c r="C612" s="264">
        <f t="shared" si="276"/>
        <v>611</v>
      </c>
      <c r="D612" s="265" t="s">
        <v>1771</v>
      </c>
      <c r="E612" s="279">
        <f>C608</f>
        <v>607</v>
      </c>
      <c r="F612" s="267"/>
      <c r="G612" s="267"/>
      <c r="H612" s="268"/>
      <c r="I612" s="268"/>
      <c r="J612" s="269"/>
      <c r="K612" s="269"/>
      <c r="L612" s="269"/>
      <c r="M612" s="319"/>
      <c r="N612" s="271"/>
      <c r="O612" s="280"/>
      <c r="P612" s="271"/>
      <c r="Q612" s="281"/>
      <c r="R612" s="271"/>
      <c r="S612" s="312"/>
      <c r="T612" s="282"/>
      <c r="U612" s="312"/>
      <c r="V612" s="276"/>
    </row>
    <row r="613" spans="1:22" s="172" customFormat="1" ht="20.25" customHeight="1">
      <c r="A613" s="263" t="str">
        <f t="shared" si="292"/>
        <v/>
      </c>
      <c r="B613" s="263"/>
      <c r="C613" s="264">
        <f t="shared" si="276"/>
        <v>612</v>
      </c>
      <c r="D613" s="277" t="s">
        <v>1772</v>
      </c>
      <c r="E613" s="293"/>
      <c r="F613" s="267" t="s">
        <v>44</v>
      </c>
      <c r="G613" s="267"/>
      <c r="H613" s="316">
        <v>8</v>
      </c>
      <c r="I613" s="316"/>
      <c r="J613" s="316">
        <v>4592</v>
      </c>
      <c r="K613" s="322" t="s">
        <v>1839</v>
      </c>
      <c r="L613" s="367" t="str">
        <f t="shared" ref="L613:L615" si="298">J613&amp;" "&amp;K613</f>
        <v>4592 mm lg</v>
      </c>
      <c r="M613" s="319">
        <v>2</v>
      </c>
      <c r="N613" s="271" t="s">
        <v>81</v>
      </c>
      <c r="O613" s="272">
        <v>2</v>
      </c>
      <c r="P613" s="271" t="s">
        <v>81</v>
      </c>
      <c r="Q613" s="325">
        <v>3</v>
      </c>
      <c r="R613" s="271" t="s">
        <v>87</v>
      </c>
      <c r="S613" s="290">
        <f t="shared" si="294"/>
        <v>6</v>
      </c>
      <c r="T613" s="275">
        <v>1</v>
      </c>
      <c r="U613" s="290">
        <f t="shared" si="295"/>
        <v>7</v>
      </c>
      <c r="V613" s="276" t="s">
        <v>48</v>
      </c>
    </row>
    <row r="614" spans="1:22" s="172" customFormat="1" ht="20.25" customHeight="1">
      <c r="A614" s="263" t="str">
        <f t="shared" si="292"/>
        <v/>
      </c>
      <c r="B614" s="263"/>
      <c r="C614" s="264">
        <f t="shared" si="276"/>
        <v>613</v>
      </c>
      <c r="D614" s="277" t="s">
        <v>1773</v>
      </c>
      <c r="E614" s="293">
        <f t="shared" si="296"/>
        <v>612</v>
      </c>
      <c r="F614" s="267" t="s">
        <v>115</v>
      </c>
      <c r="G614" s="267"/>
      <c r="H614" s="316">
        <v>8</v>
      </c>
      <c r="I614" s="316"/>
      <c r="J614" s="316">
        <v>60</v>
      </c>
      <c r="K614" s="322" t="s">
        <v>1840</v>
      </c>
      <c r="L614" s="367" t="str">
        <f t="shared" si="298"/>
        <v>60 joints</v>
      </c>
      <c r="M614" s="319">
        <v>1</v>
      </c>
      <c r="N614" s="271" t="s">
        <v>84</v>
      </c>
      <c r="O614" s="297" t="str">
        <f>LEFT(L614,SEARCH(" ",L614,1)-1)</f>
        <v>60</v>
      </c>
      <c r="P614" s="271" t="s">
        <v>633</v>
      </c>
      <c r="Q614" s="325">
        <v>0.25</v>
      </c>
      <c r="R614" s="271" t="s">
        <v>87</v>
      </c>
      <c r="S614" s="290">
        <f t="shared" si="294"/>
        <v>15</v>
      </c>
      <c r="T614" s="275">
        <v>1</v>
      </c>
      <c r="U614" s="290">
        <f t="shared" si="295"/>
        <v>16</v>
      </c>
      <c r="V614" s="276" t="s">
        <v>48</v>
      </c>
    </row>
    <row r="615" spans="1:22" s="172" customFormat="1" ht="20.25" customHeight="1">
      <c r="A615" s="263" t="str">
        <f t="shared" si="292"/>
        <v/>
      </c>
      <c r="B615" s="263"/>
      <c r="C615" s="264">
        <f t="shared" si="276"/>
        <v>614</v>
      </c>
      <c r="D615" s="277" t="s">
        <v>1774</v>
      </c>
      <c r="E615" s="293">
        <f t="shared" si="296"/>
        <v>613</v>
      </c>
      <c r="F615" s="267" t="s">
        <v>61</v>
      </c>
      <c r="G615" s="267"/>
      <c r="H615" s="316">
        <v>1500</v>
      </c>
      <c r="I615" s="316"/>
      <c r="J615" s="317">
        <f>J614</f>
        <v>60</v>
      </c>
      <c r="K615" s="317" t="str">
        <f>K614</f>
        <v>joints</v>
      </c>
      <c r="L615" s="367" t="str">
        <f t="shared" si="298"/>
        <v>60 joints</v>
      </c>
      <c r="M615" s="319">
        <v>1</v>
      </c>
      <c r="N615" s="271" t="s">
        <v>84</v>
      </c>
      <c r="O615" s="297" t="str">
        <f>LEFT(L615,SEARCH(" ",L615,1)-1)</f>
        <v>60</v>
      </c>
      <c r="P615" s="271" t="s">
        <v>633</v>
      </c>
      <c r="Q615" s="324">
        <f>VLOOKUP(H615,BM!$B$3:$Y$62,9,FALSE)</f>
        <v>0.25</v>
      </c>
      <c r="R615" s="271" t="s">
        <v>87</v>
      </c>
      <c r="S615" s="290">
        <f t="shared" si="294"/>
        <v>15</v>
      </c>
      <c r="T615" s="275">
        <v>1</v>
      </c>
      <c r="U615" s="290">
        <f t="shared" si="295"/>
        <v>16</v>
      </c>
      <c r="V615" s="276" t="s">
        <v>48</v>
      </c>
    </row>
    <row r="616" spans="1:22" s="172" customFormat="1" ht="20.25" customHeight="1">
      <c r="A616" s="263">
        <f t="shared" si="292"/>
        <v>615</v>
      </c>
      <c r="B616" s="263" t="s">
        <v>1263</v>
      </c>
      <c r="C616" s="264">
        <f t="shared" si="276"/>
        <v>615</v>
      </c>
      <c r="D616" s="265" t="s">
        <v>1775</v>
      </c>
      <c r="E616" s="279">
        <f>C612</f>
        <v>611</v>
      </c>
      <c r="F616" s="267"/>
      <c r="G616" s="267"/>
      <c r="H616" s="268"/>
      <c r="I616" s="268"/>
      <c r="J616" s="269"/>
      <c r="K616" s="269"/>
      <c r="L616" s="269"/>
      <c r="M616" s="319"/>
      <c r="N616" s="271"/>
      <c r="O616" s="280"/>
      <c r="P616" s="271"/>
      <c r="Q616" s="281"/>
      <c r="R616" s="271"/>
      <c r="S616" s="312"/>
      <c r="T616" s="282"/>
      <c r="U616" s="312"/>
      <c r="V616" s="276"/>
    </row>
    <row r="617" spans="1:22" s="172" customFormat="1" ht="20.25" customHeight="1">
      <c r="A617" s="263" t="str">
        <f t="shared" si="292"/>
        <v/>
      </c>
      <c r="B617" s="263"/>
      <c r="C617" s="264">
        <f t="shared" si="276"/>
        <v>616</v>
      </c>
      <c r="D617" s="277" t="s">
        <v>1776</v>
      </c>
      <c r="E617" s="293"/>
      <c r="F617" s="267" t="s">
        <v>637</v>
      </c>
      <c r="G617" s="267"/>
      <c r="H617" s="268"/>
      <c r="I617" s="268"/>
      <c r="J617" s="316">
        <v>7000</v>
      </c>
      <c r="K617" s="322" t="s">
        <v>1835</v>
      </c>
      <c r="L617" s="367" t="str">
        <f>J617&amp;" "&amp;K617</f>
        <v>7000 lg</v>
      </c>
      <c r="M617" s="319">
        <v>1</v>
      </c>
      <c r="N617" s="271" t="s">
        <v>81</v>
      </c>
      <c r="O617" s="272">
        <v>1</v>
      </c>
      <c r="P617" s="271" t="s">
        <v>81</v>
      </c>
      <c r="Q617" s="273">
        <v>16</v>
      </c>
      <c r="R617" s="271" t="s">
        <v>87</v>
      </c>
      <c r="S617" s="290">
        <f t="shared" si="294"/>
        <v>16</v>
      </c>
      <c r="T617" s="275">
        <v>1</v>
      </c>
      <c r="U617" s="290">
        <f t="shared" si="295"/>
        <v>17</v>
      </c>
      <c r="V617" s="276" t="s">
        <v>48</v>
      </c>
    </row>
    <row r="618" spans="1:22" s="172" customFormat="1" ht="20.25" customHeight="1">
      <c r="A618" s="263" t="str">
        <f t="shared" si="292"/>
        <v/>
      </c>
      <c r="B618" s="263"/>
      <c r="C618" s="264">
        <f t="shared" si="276"/>
        <v>617</v>
      </c>
      <c r="D618" s="277" t="s">
        <v>1777</v>
      </c>
      <c r="E618" s="293" t="str">
        <f>CONCATENATE(C617,",",C57)</f>
        <v>616,56</v>
      </c>
      <c r="F618" s="267" t="s">
        <v>640</v>
      </c>
      <c r="G618" s="267"/>
      <c r="H618" s="316">
        <v>145</v>
      </c>
      <c r="I618" s="322" t="s">
        <v>1831</v>
      </c>
      <c r="J618" s="269"/>
      <c r="K618" s="269"/>
      <c r="L618" s="269"/>
      <c r="M618" s="319">
        <v>1</v>
      </c>
      <c r="N618" s="271" t="s">
        <v>81</v>
      </c>
      <c r="O618" s="272">
        <v>1</v>
      </c>
      <c r="P618" s="271" t="s">
        <v>81</v>
      </c>
      <c r="Q618" s="273">
        <v>4</v>
      </c>
      <c r="R618" s="271" t="s">
        <v>87</v>
      </c>
      <c r="S618" s="290">
        <f t="shared" si="294"/>
        <v>4</v>
      </c>
      <c r="T618" s="275">
        <v>1</v>
      </c>
      <c r="U618" s="290">
        <f t="shared" si="295"/>
        <v>5</v>
      </c>
      <c r="V618" s="276" t="s">
        <v>48</v>
      </c>
    </row>
    <row r="619" spans="1:22" s="172" customFormat="1" ht="20.25" customHeight="1">
      <c r="A619" s="263" t="str">
        <f t="shared" si="292"/>
        <v/>
      </c>
      <c r="B619" s="263"/>
      <c r="C619" s="264">
        <f t="shared" si="276"/>
        <v>618</v>
      </c>
      <c r="D619" s="277" t="s">
        <v>1778</v>
      </c>
      <c r="E619" s="293">
        <f t="shared" si="296"/>
        <v>617</v>
      </c>
      <c r="F619" s="267" t="s">
        <v>643</v>
      </c>
      <c r="G619" s="267"/>
      <c r="H619" s="316">
        <v>165</v>
      </c>
      <c r="I619" s="322" t="s">
        <v>1831</v>
      </c>
      <c r="J619" s="316">
        <v>1490</v>
      </c>
      <c r="K619" s="316"/>
      <c r="L619" s="367" t="str">
        <f>J619&amp;" "&amp;K619</f>
        <v xml:space="preserve">1490 </v>
      </c>
      <c r="M619" s="319">
        <v>1</v>
      </c>
      <c r="N619" s="271" t="s">
        <v>81</v>
      </c>
      <c r="O619" s="272">
        <v>56</v>
      </c>
      <c r="P619" s="271" t="s">
        <v>645</v>
      </c>
      <c r="Q619" s="324">
        <f>1/60*10</f>
        <v>0.16666666666666666</v>
      </c>
      <c r="R619" s="271" t="s">
        <v>112</v>
      </c>
      <c r="S619" s="290">
        <f t="shared" si="294"/>
        <v>9.3333333333333321</v>
      </c>
      <c r="T619" s="275">
        <v>1</v>
      </c>
      <c r="U619" s="290">
        <f t="shared" si="295"/>
        <v>10.33</v>
      </c>
      <c r="V619" s="276" t="s">
        <v>48</v>
      </c>
    </row>
    <row r="620" spans="1:22" s="172" customFormat="1" ht="20.25" customHeight="1">
      <c r="A620" s="263">
        <f t="shared" si="292"/>
        <v>619</v>
      </c>
      <c r="B620" s="263" t="s">
        <v>1263</v>
      </c>
      <c r="C620" s="264">
        <f t="shared" si="276"/>
        <v>619</v>
      </c>
      <c r="D620" s="265" t="s">
        <v>1779</v>
      </c>
      <c r="E620" s="279">
        <f>C616</f>
        <v>615</v>
      </c>
      <c r="F620" s="267"/>
      <c r="G620" s="267"/>
      <c r="H620" s="268"/>
      <c r="I620" s="268"/>
      <c r="J620" s="269"/>
      <c r="K620" s="269"/>
      <c r="L620" s="269"/>
      <c r="M620" s="319"/>
      <c r="N620" s="271"/>
      <c r="O620" s="280"/>
      <c r="P620" s="271"/>
      <c r="Q620" s="281"/>
      <c r="R620" s="271"/>
      <c r="S620" s="312"/>
      <c r="T620" s="282"/>
      <c r="U620" s="312"/>
      <c r="V620" s="276"/>
    </row>
    <row r="621" spans="1:22" s="172" customFormat="1" ht="20.25" customHeight="1">
      <c r="A621" s="263" t="str">
        <f t="shared" si="292"/>
        <v/>
      </c>
      <c r="B621" s="263"/>
      <c r="C621" s="264">
        <f t="shared" si="276"/>
        <v>620</v>
      </c>
      <c r="D621" s="277" t="s">
        <v>1780</v>
      </c>
      <c r="E621" s="293"/>
      <c r="F621" s="267" t="s">
        <v>201</v>
      </c>
      <c r="G621" s="267"/>
      <c r="H621" s="316">
        <v>150</v>
      </c>
      <c r="I621" s="322" t="s">
        <v>1831</v>
      </c>
      <c r="J621" s="316">
        <v>1308</v>
      </c>
      <c r="K621" s="322" t="s">
        <v>40</v>
      </c>
      <c r="L621" s="367" t="str">
        <f t="shared" ref="L621:L624" si="299">J621&amp;" "&amp;K621</f>
        <v>1308 nos</v>
      </c>
      <c r="M621" s="319">
        <v>1308</v>
      </c>
      <c r="N621" s="271" t="s">
        <v>81</v>
      </c>
      <c r="O621" s="297" t="str">
        <f>LEFT(L621,SEARCH(" ",L621,1)-1)</f>
        <v>1308</v>
      </c>
      <c r="P621" s="271" t="s">
        <v>650</v>
      </c>
      <c r="Q621" s="324">
        <f>1/60*1</f>
        <v>1.6666666666666666E-2</v>
      </c>
      <c r="R621" s="271" t="s">
        <v>112</v>
      </c>
      <c r="S621" s="290">
        <f t="shared" si="294"/>
        <v>21.8</v>
      </c>
      <c r="T621" s="275">
        <v>1</v>
      </c>
      <c r="U621" s="290">
        <f t="shared" si="295"/>
        <v>22.8</v>
      </c>
      <c r="V621" s="276" t="s">
        <v>48</v>
      </c>
    </row>
    <row r="622" spans="1:22" s="172" customFormat="1" ht="20.25" customHeight="1">
      <c r="A622" s="263" t="str">
        <f t="shared" si="292"/>
        <v/>
      </c>
      <c r="B622" s="263"/>
      <c r="C622" s="264">
        <f t="shared" si="276"/>
        <v>621</v>
      </c>
      <c r="D622" s="277" t="s">
        <v>1781</v>
      </c>
      <c r="E622" s="293">
        <f t="shared" si="296"/>
        <v>620</v>
      </c>
      <c r="F622" s="267" t="s">
        <v>201</v>
      </c>
      <c r="G622" s="267"/>
      <c r="H622" s="316" t="s">
        <v>652</v>
      </c>
      <c r="I622" s="316"/>
      <c r="J622" s="316">
        <v>1308</v>
      </c>
      <c r="K622" s="322" t="s">
        <v>40</v>
      </c>
      <c r="L622" s="367" t="str">
        <f t="shared" si="299"/>
        <v>1308 nos</v>
      </c>
      <c r="M622" s="319">
        <v>1308</v>
      </c>
      <c r="N622" s="271" t="s">
        <v>81</v>
      </c>
      <c r="O622" s="297" t="str">
        <f>LEFT(L622,SEARCH(" ",L622,1)-1)</f>
        <v>1308</v>
      </c>
      <c r="P622" s="271" t="s">
        <v>650</v>
      </c>
      <c r="Q622" s="324">
        <f>1/60*0.5</f>
        <v>8.3333333333333332E-3</v>
      </c>
      <c r="R622" s="271" t="s">
        <v>112</v>
      </c>
      <c r="S622" s="290">
        <f t="shared" si="294"/>
        <v>10.9</v>
      </c>
      <c r="T622" s="275">
        <v>1</v>
      </c>
      <c r="U622" s="290">
        <f t="shared" si="295"/>
        <v>11.9</v>
      </c>
      <c r="V622" s="276" t="s">
        <v>48</v>
      </c>
    </row>
    <row r="623" spans="1:22" s="172" customFormat="1" ht="20.25" customHeight="1">
      <c r="A623" s="263" t="str">
        <f t="shared" si="292"/>
        <v/>
      </c>
      <c r="B623" s="263"/>
      <c r="C623" s="264">
        <f t="shared" si="276"/>
        <v>622</v>
      </c>
      <c r="D623" s="277" t="s">
        <v>1782</v>
      </c>
      <c r="E623" s="293">
        <f t="shared" si="296"/>
        <v>621</v>
      </c>
      <c r="F623" s="267" t="s">
        <v>44</v>
      </c>
      <c r="G623" s="267"/>
      <c r="H623" s="316" t="s">
        <v>652</v>
      </c>
      <c r="I623" s="316"/>
      <c r="J623" s="316">
        <v>1308</v>
      </c>
      <c r="K623" s="322" t="s">
        <v>40</v>
      </c>
      <c r="L623" s="367" t="str">
        <f t="shared" si="299"/>
        <v>1308 nos</v>
      </c>
      <c r="M623" s="319">
        <v>1308</v>
      </c>
      <c r="N623" s="271" t="s">
        <v>81</v>
      </c>
      <c r="O623" s="297" t="str">
        <f>LEFT(L623,SEARCH(" ",L623,1)-1)</f>
        <v>1308</v>
      </c>
      <c r="P623" s="271" t="s">
        <v>654</v>
      </c>
      <c r="Q623" s="324">
        <f>1/60*2</f>
        <v>3.3333333333333333E-2</v>
      </c>
      <c r="R623" s="271" t="s">
        <v>112</v>
      </c>
      <c r="S623" s="290">
        <f t="shared" si="294"/>
        <v>43.6</v>
      </c>
      <c r="T623" s="275">
        <v>1</v>
      </c>
      <c r="U623" s="290">
        <f t="shared" si="295"/>
        <v>44.6</v>
      </c>
      <c r="V623" s="276" t="s">
        <v>48</v>
      </c>
    </row>
    <row r="624" spans="1:22" s="172" customFormat="1" ht="20.25" customHeight="1">
      <c r="A624" s="263" t="str">
        <f t="shared" si="292"/>
        <v/>
      </c>
      <c r="B624" s="263"/>
      <c r="C624" s="264">
        <f t="shared" si="276"/>
        <v>623</v>
      </c>
      <c r="D624" s="277" t="s">
        <v>1783</v>
      </c>
      <c r="E624" s="293">
        <f t="shared" si="296"/>
        <v>622</v>
      </c>
      <c r="F624" s="267" t="s">
        <v>656</v>
      </c>
      <c r="G624" s="267"/>
      <c r="H624" s="316">
        <v>150</v>
      </c>
      <c r="I624" s="322" t="s">
        <v>1831</v>
      </c>
      <c r="J624" s="316">
        <v>2616</v>
      </c>
      <c r="K624" s="322" t="s">
        <v>1841</v>
      </c>
      <c r="L624" s="367" t="str">
        <f t="shared" si="299"/>
        <v>2616 Roll</v>
      </c>
      <c r="M624" s="326">
        <v>2616</v>
      </c>
      <c r="N624" s="271" t="s">
        <v>81</v>
      </c>
      <c r="O624" s="297" t="str">
        <f>LEFT(L624,SEARCH(" ",L624,1)-1)</f>
        <v>2616</v>
      </c>
      <c r="P624" s="271" t="s">
        <v>650</v>
      </c>
      <c r="Q624" s="324">
        <f>1/60*0.5</f>
        <v>8.3333333333333332E-3</v>
      </c>
      <c r="R624" s="271" t="s">
        <v>112</v>
      </c>
      <c r="S624" s="290">
        <f t="shared" si="294"/>
        <v>21.8</v>
      </c>
      <c r="T624" s="275">
        <v>1</v>
      </c>
      <c r="U624" s="290">
        <f t="shared" si="295"/>
        <v>22.8</v>
      </c>
      <c r="V624" s="276" t="s">
        <v>48</v>
      </c>
    </row>
    <row r="625" spans="1:22" s="172" customFormat="1" ht="20.25" customHeight="1">
      <c r="A625" s="263">
        <f t="shared" si="292"/>
        <v>624</v>
      </c>
      <c r="B625" s="263" t="s">
        <v>1263</v>
      </c>
      <c r="C625" s="264">
        <f t="shared" si="276"/>
        <v>624</v>
      </c>
      <c r="D625" s="265" t="s">
        <v>1784</v>
      </c>
      <c r="E625" s="279">
        <f>C620</f>
        <v>619</v>
      </c>
      <c r="F625" s="267"/>
      <c r="G625" s="267"/>
      <c r="H625" s="268"/>
      <c r="I625" s="268"/>
      <c r="J625" s="269"/>
      <c r="K625" s="269"/>
      <c r="L625" s="269"/>
      <c r="M625" s="319"/>
      <c r="N625" s="271"/>
      <c r="O625" s="280"/>
      <c r="P625" s="271"/>
      <c r="Q625" s="281"/>
      <c r="R625" s="271"/>
      <c r="S625" s="312"/>
      <c r="T625" s="282"/>
      <c r="U625" s="312"/>
      <c r="V625" s="276"/>
    </row>
    <row r="626" spans="1:22" s="172" customFormat="1" ht="20.25" customHeight="1">
      <c r="A626" s="263" t="str">
        <f t="shared" si="292"/>
        <v/>
      </c>
      <c r="B626" s="263"/>
      <c r="C626" s="264">
        <f t="shared" si="276"/>
        <v>625</v>
      </c>
      <c r="D626" s="277" t="s">
        <v>1785</v>
      </c>
      <c r="E626" s="293"/>
      <c r="F626" s="267" t="s">
        <v>656</v>
      </c>
      <c r="G626" s="267"/>
      <c r="H626" s="268"/>
      <c r="I626" s="268"/>
      <c r="J626" s="269"/>
      <c r="K626" s="269"/>
      <c r="L626" s="269"/>
      <c r="M626" s="319">
        <v>1</v>
      </c>
      <c r="N626" s="296" t="s">
        <v>81</v>
      </c>
      <c r="O626" s="272">
        <v>1</v>
      </c>
      <c r="P626" s="271" t="s">
        <v>661</v>
      </c>
      <c r="Q626" s="273">
        <v>4</v>
      </c>
      <c r="R626" s="271" t="s">
        <v>112</v>
      </c>
      <c r="S626" s="290">
        <f t="shared" si="294"/>
        <v>4</v>
      </c>
      <c r="T626" s="275">
        <v>1</v>
      </c>
      <c r="U626" s="290">
        <f t="shared" si="295"/>
        <v>5</v>
      </c>
      <c r="V626" s="276" t="s">
        <v>48</v>
      </c>
    </row>
    <row r="627" spans="1:22" s="172" customFormat="1" ht="20.25" customHeight="1">
      <c r="A627" s="263" t="str">
        <f t="shared" si="292"/>
        <v/>
      </c>
      <c r="B627" s="263"/>
      <c r="C627" s="264">
        <f t="shared" si="276"/>
        <v>626</v>
      </c>
      <c r="D627" s="277" t="s">
        <v>1786</v>
      </c>
      <c r="E627" s="293">
        <f t="shared" si="296"/>
        <v>625</v>
      </c>
      <c r="F627" s="267" t="s">
        <v>44</v>
      </c>
      <c r="G627" s="267"/>
      <c r="H627" s="268"/>
      <c r="I627" s="268"/>
      <c r="J627" s="269"/>
      <c r="K627" s="269"/>
      <c r="L627" s="269"/>
      <c r="M627" s="319">
        <v>1</v>
      </c>
      <c r="N627" s="296" t="s">
        <v>81</v>
      </c>
      <c r="O627" s="272">
        <v>1</v>
      </c>
      <c r="P627" s="271" t="s">
        <v>661</v>
      </c>
      <c r="Q627" s="273">
        <v>1</v>
      </c>
      <c r="R627" s="271" t="s">
        <v>41</v>
      </c>
      <c r="S627" s="290">
        <f t="shared" si="294"/>
        <v>1</v>
      </c>
      <c r="T627" s="275"/>
      <c r="U627" s="290">
        <f t="shared" si="295"/>
        <v>1</v>
      </c>
      <c r="V627" s="276" t="s">
        <v>48</v>
      </c>
    </row>
    <row r="628" spans="1:22" s="172" customFormat="1" ht="20.25" customHeight="1">
      <c r="A628" s="263" t="str">
        <f t="shared" si="292"/>
        <v/>
      </c>
      <c r="B628" s="263"/>
      <c r="C628" s="264">
        <f t="shared" si="276"/>
        <v>627</v>
      </c>
      <c r="D628" s="277" t="s">
        <v>1787</v>
      </c>
      <c r="E628" s="293">
        <f t="shared" si="296"/>
        <v>626</v>
      </c>
      <c r="F628" s="267" t="s">
        <v>224</v>
      </c>
      <c r="G628" s="267"/>
      <c r="H628" s="268"/>
      <c r="I628" s="268"/>
      <c r="J628" s="269"/>
      <c r="K628" s="269"/>
      <c r="L628" s="269"/>
      <c r="M628" s="319">
        <v>1</v>
      </c>
      <c r="N628" s="296" t="s">
        <v>81</v>
      </c>
      <c r="O628" s="272">
        <v>1</v>
      </c>
      <c r="P628" s="296" t="s">
        <v>81</v>
      </c>
      <c r="Q628" s="273">
        <v>1</v>
      </c>
      <c r="R628" s="271" t="s">
        <v>162</v>
      </c>
      <c r="S628" s="290">
        <f t="shared" si="294"/>
        <v>1</v>
      </c>
      <c r="T628" s="275"/>
      <c r="U628" s="290">
        <f t="shared" si="295"/>
        <v>1</v>
      </c>
      <c r="V628" s="276" t="s">
        <v>48</v>
      </c>
    </row>
    <row r="629" spans="1:22" s="172" customFormat="1" ht="20.25" customHeight="1">
      <c r="A629" s="263">
        <f t="shared" si="292"/>
        <v>628</v>
      </c>
      <c r="B629" s="263" t="s">
        <v>1263</v>
      </c>
      <c r="C629" s="264">
        <f t="shared" si="276"/>
        <v>628</v>
      </c>
      <c r="D629" s="265" t="s">
        <v>1788</v>
      </c>
      <c r="E629" s="279">
        <f>C625</f>
        <v>624</v>
      </c>
      <c r="F629" s="267"/>
      <c r="G629" s="267"/>
      <c r="H629" s="268"/>
      <c r="I629" s="268"/>
      <c r="J629" s="269"/>
      <c r="K629" s="269"/>
      <c r="L629" s="269"/>
      <c r="M629" s="319"/>
      <c r="N629" s="271"/>
      <c r="O629" s="280"/>
      <c r="P629" s="271"/>
      <c r="Q629" s="281"/>
      <c r="R629" s="271"/>
      <c r="S629" s="312"/>
      <c r="T629" s="282"/>
      <c r="U629" s="312"/>
      <c r="V629" s="276"/>
    </row>
    <row r="630" spans="1:22" s="172" customFormat="1" ht="20.25" customHeight="1">
      <c r="A630" s="263" t="str">
        <f t="shared" si="292"/>
        <v/>
      </c>
      <c r="B630" s="263"/>
      <c r="C630" s="264">
        <f t="shared" si="276"/>
        <v>629</v>
      </c>
      <c r="D630" s="277" t="s">
        <v>1789</v>
      </c>
      <c r="E630" s="293"/>
      <c r="F630" s="267" t="s">
        <v>666</v>
      </c>
      <c r="G630" s="267"/>
      <c r="H630" s="316">
        <v>2.77</v>
      </c>
      <c r="I630" s="316"/>
      <c r="J630" s="316">
        <v>25.4</v>
      </c>
      <c r="K630" s="322" t="s">
        <v>1832</v>
      </c>
      <c r="L630" s="367" t="str">
        <f>J630&amp;" "&amp;K630</f>
        <v>25.4 od</v>
      </c>
      <c r="M630" s="319">
        <v>1308</v>
      </c>
      <c r="N630" s="271" t="s">
        <v>81</v>
      </c>
      <c r="O630" s="327">
        <f>M630</f>
        <v>1308</v>
      </c>
      <c r="P630" s="271" t="s">
        <v>668</v>
      </c>
      <c r="Q630" s="324">
        <f>1/60*5</f>
        <v>8.3333333333333329E-2</v>
      </c>
      <c r="R630" s="271" t="s">
        <v>112</v>
      </c>
      <c r="S630" s="290">
        <f t="shared" si="294"/>
        <v>109</v>
      </c>
      <c r="T630" s="275">
        <v>1</v>
      </c>
      <c r="U630" s="290">
        <f t="shared" si="295"/>
        <v>110</v>
      </c>
      <c r="V630" s="276" t="s">
        <v>48</v>
      </c>
    </row>
    <row r="631" spans="1:22" s="172" customFormat="1" ht="20.25" customHeight="1">
      <c r="A631" s="263" t="str">
        <f t="shared" si="292"/>
        <v/>
      </c>
      <c r="B631" s="263"/>
      <c r="C631" s="264">
        <f t="shared" si="276"/>
        <v>630</v>
      </c>
      <c r="D631" s="277" t="s">
        <v>1790</v>
      </c>
      <c r="E631" s="293">
        <f t="shared" si="296"/>
        <v>629</v>
      </c>
      <c r="F631" s="267" t="s">
        <v>44</v>
      </c>
      <c r="G631" s="267"/>
      <c r="H631" s="316">
        <v>2.77</v>
      </c>
      <c r="I631" s="316"/>
      <c r="J631" s="269"/>
      <c r="K631" s="269"/>
      <c r="L631" s="269"/>
      <c r="M631" s="319">
        <v>1308</v>
      </c>
      <c r="N631" s="271" t="s">
        <v>81</v>
      </c>
      <c r="O631" s="272">
        <v>1</v>
      </c>
      <c r="P631" s="296" t="s">
        <v>81</v>
      </c>
      <c r="Q631" s="273">
        <v>8</v>
      </c>
      <c r="R631" s="271" t="s">
        <v>112</v>
      </c>
      <c r="S631" s="290">
        <f t="shared" si="294"/>
        <v>8</v>
      </c>
      <c r="T631" s="275">
        <v>1</v>
      </c>
      <c r="U631" s="290">
        <f t="shared" si="295"/>
        <v>9</v>
      </c>
      <c r="V631" s="276" t="s">
        <v>48</v>
      </c>
    </row>
    <row r="632" spans="1:22" s="172" customFormat="1" ht="20.25" customHeight="1">
      <c r="A632" s="263" t="str">
        <f t="shared" si="292"/>
        <v/>
      </c>
      <c r="B632" s="263"/>
      <c r="C632" s="264">
        <f t="shared" si="276"/>
        <v>631</v>
      </c>
      <c r="D632" s="277" t="s">
        <v>1791</v>
      </c>
      <c r="E632" s="293">
        <f t="shared" si="296"/>
        <v>630</v>
      </c>
      <c r="F632" s="267" t="s">
        <v>666</v>
      </c>
      <c r="G632" s="267"/>
      <c r="H632" s="316">
        <v>2.77</v>
      </c>
      <c r="I632" s="316"/>
      <c r="J632" s="269"/>
      <c r="K632" s="269"/>
      <c r="L632" s="269"/>
      <c r="M632" s="319">
        <v>1308</v>
      </c>
      <c r="N632" s="271" t="s">
        <v>81</v>
      </c>
      <c r="O632" s="327">
        <f>M632</f>
        <v>1308</v>
      </c>
      <c r="P632" s="271" t="s">
        <v>668</v>
      </c>
      <c r="Q632" s="324">
        <f>1/60*5</f>
        <v>8.3333333333333329E-2</v>
      </c>
      <c r="R632" s="271" t="s">
        <v>112</v>
      </c>
      <c r="S632" s="290">
        <f t="shared" si="294"/>
        <v>109</v>
      </c>
      <c r="T632" s="275">
        <v>1</v>
      </c>
      <c r="U632" s="290">
        <f t="shared" si="295"/>
        <v>110</v>
      </c>
      <c r="V632" s="276" t="s">
        <v>48</v>
      </c>
    </row>
    <row r="633" spans="1:22" s="172" customFormat="1" ht="20.25" customHeight="1">
      <c r="A633" s="263" t="str">
        <f t="shared" si="292"/>
        <v/>
      </c>
      <c r="B633" s="263"/>
      <c r="C633" s="264">
        <f t="shared" si="276"/>
        <v>632</v>
      </c>
      <c r="D633" s="277" t="s">
        <v>1792</v>
      </c>
      <c r="E633" s="293">
        <f t="shared" si="296"/>
        <v>631</v>
      </c>
      <c r="F633" s="267" t="s">
        <v>44</v>
      </c>
      <c r="G633" s="267"/>
      <c r="H633" s="316">
        <v>2.77</v>
      </c>
      <c r="I633" s="316"/>
      <c r="J633" s="269"/>
      <c r="K633" s="269"/>
      <c r="L633" s="269"/>
      <c r="M633" s="319">
        <v>1308</v>
      </c>
      <c r="N633" s="271" t="s">
        <v>81</v>
      </c>
      <c r="O633" s="272">
        <v>1</v>
      </c>
      <c r="P633" s="296" t="s">
        <v>81</v>
      </c>
      <c r="Q633" s="273">
        <v>8</v>
      </c>
      <c r="R633" s="271" t="s">
        <v>112</v>
      </c>
      <c r="S633" s="290">
        <f t="shared" si="294"/>
        <v>8</v>
      </c>
      <c r="T633" s="275">
        <v>1</v>
      </c>
      <c r="U633" s="290">
        <f t="shared" si="295"/>
        <v>9</v>
      </c>
      <c r="V633" s="276" t="s">
        <v>48</v>
      </c>
    </row>
    <row r="634" spans="1:22" s="172" customFormat="1" ht="20.25" customHeight="1">
      <c r="A634" s="263">
        <f t="shared" si="292"/>
        <v>633</v>
      </c>
      <c r="B634" s="263" t="s">
        <v>1263</v>
      </c>
      <c r="C634" s="264">
        <f t="shared" si="276"/>
        <v>633</v>
      </c>
      <c r="D634" s="265" t="s">
        <v>1793</v>
      </c>
      <c r="E634" s="279">
        <f>C629</f>
        <v>628</v>
      </c>
      <c r="F634" s="267"/>
      <c r="G634" s="267"/>
      <c r="H634" s="268"/>
      <c r="I634" s="268"/>
      <c r="J634" s="269"/>
      <c r="K634" s="269"/>
      <c r="L634" s="269"/>
      <c r="M634" s="319"/>
      <c r="N634" s="271"/>
      <c r="O634" s="280"/>
      <c r="P634" s="271"/>
      <c r="Q634" s="281"/>
      <c r="R634" s="271"/>
      <c r="S634" s="312"/>
      <c r="T634" s="282"/>
      <c r="U634" s="312"/>
      <c r="V634" s="276"/>
    </row>
    <row r="635" spans="1:22" s="172" customFormat="1" ht="20.25" customHeight="1">
      <c r="A635" s="263" t="str">
        <f t="shared" si="292"/>
        <v/>
      </c>
      <c r="B635" s="263"/>
      <c r="C635" s="264">
        <f t="shared" si="276"/>
        <v>634</v>
      </c>
      <c r="D635" s="277" t="s">
        <v>1794</v>
      </c>
      <c r="E635" s="293"/>
      <c r="F635" s="267" t="s">
        <v>666</v>
      </c>
      <c r="G635" s="267"/>
      <c r="H635" s="316">
        <v>2.77</v>
      </c>
      <c r="I635" s="316"/>
      <c r="J635" s="269"/>
      <c r="K635" s="269"/>
      <c r="L635" s="269"/>
      <c r="M635" s="319">
        <v>1308</v>
      </c>
      <c r="N635" s="271" t="s">
        <v>81</v>
      </c>
      <c r="O635" s="327">
        <f>M635</f>
        <v>1308</v>
      </c>
      <c r="P635" s="271" t="s">
        <v>668</v>
      </c>
      <c r="Q635" s="324">
        <f>1/60*5</f>
        <v>8.3333333333333329E-2</v>
      </c>
      <c r="R635" s="271" t="s">
        <v>112</v>
      </c>
      <c r="S635" s="290">
        <f t="shared" si="294"/>
        <v>109</v>
      </c>
      <c r="T635" s="275">
        <v>1</v>
      </c>
      <c r="U635" s="290">
        <f t="shared" si="295"/>
        <v>110</v>
      </c>
      <c r="V635" s="276" t="s">
        <v>48</v>
      </c>
    </row>
    <row r="636" spans="1:22" s="172" customFormat="1" ht="20.25" customHeight="1">
      <c r="A636" s="263" t="str">
        <f t="shared" si="292"/>
        <v/>
      </c>
      <c r="B636" s="263"/>
      <c r="C636" s="264">
        <f t="shared" si="276"/>
        <v>635</v>
      </c>
      <c r="D636" s="277" t="s">
        <v>1795</v>
      </c>
      <c r="E636" s="293">
        <f t="shared" si="296"/>
        <v>634</v>
      </c>
      <c r="F636" s="267" t="s">
        <v>44</v>
      </c>
      <c r="G636" s="267"/>
      <c r="H636" s="316">
        <v>2.77</v>
      </c>
      <c r="I636" s="316"/>
      <c r="J636" s="269"/>
      <c r="K636" s="269"/>
      <c r="L636" s="269"/>
      <c r="M636" s="319">
        <v>1308</v>
      </c>
      <c r="N636" s="271" t="s">
        <v>81</v>
      </c>
      <c r="O636" s="272">
        <v>1</v>
      </c>
      <c r="P636" s="296" t="s">
        <v>81</v>
      </c>
      <c r="Q636" s="273">
        <v>8</v>
      </c>
      <c r="R636" s="271" t="s">
        <v>112</v>
      </c>
      <c r="S636" s="290">
        <f t="shared" si="294"/>
        <v>8</v>
      </c>
      <c r="T636" s="275">
        <v>1</v>
      </c>
      <c r="U636" s="290">
        <f t="shared" si="295"/>
        <v>9</v>
      </c>
      <c r="V636" s="276" t="s">
        <v>48</v>
      </c>
    </row>
    <row r="637" spans="1:22" s="172" customFormat="1" ht="20.25" customHeight="1">
      <c r="A637" s="263" t="str">
        <f t="shared" si="292"/>
        <v/>
      </c>
      <c r="B637" s="263"/>
      <c r="C637" s="264">
        <f t="shared" si="276"/>
        <v>636</v>
      </c>
      <c r="D637" s="277" t="s">
        <v>1796</v>
      </c>
      <c r="E637" s="293">
        <f t="shared" si="296"/>
        <v>635</v>
      </c>
      <c r="F637" s="267" t="s">
        <v>666</v>
      </c>
      <c r="G637" s="267"/>
      <c r="H637" s="316">
        <v>2.77</v>
      </c>
      <c r="I637" s="316"/>
      <c r="J637" s="269"/>
      <c r="K637" s="269"/>
      <c r="L637" s="269"/>
      <c r="M637" s="319">
        <v>1308</v>
      </c>
      <c r="N637" s="271" t="s">
        <v>81</v>
      </c>
      <c r="O637" s="327">
        <f>M637</f>
        <v>1308</v>
      </c>
      <c r="P637" s="271" t="s">
        <v>668</v>
      </c>
      <c r="Q637" s="324">
        <f>1/60*5</f>
        <v>8.3333333333333329E-2</v>
      </c>
      <c r="R637" s="271" t="s">
        <v>112</v>
      </c>
      <c r="S637" s="290">
        <f t="shared" si="294"/>
        <v>109</v>
      </c>
      <c r="T637" s="275">
        <v>1</v>
      </c>
      <c r="U637" s="290">
        <f t="shared" si="295"/>
        <v>110</v>
      </c>
      <c r="V637" s="276" t="s">
        <v>48</v>
      </c>
    </row>
    <row r="638" spans="1:22" s="172" customFormat="1" ht="20.25" customHeight="1">
      <c r="A638" s="263" t="str">
        <f t="shared" si="292"/>
        <v/>
      </c>
      <c r="B638" s="263"/>
      <c r="C638" s="264">
        <f t="shared" si="276"/>
        <v>637</v>
      </c>
      <c r="D638" s="277" t="s">
        <v>1797</v>
      </c>
      <c r="E638" s="293">
        <f t="shared" si="296"/>
        <v>636</v>
      </c>
      <c r="F638" s="267" t="s">
        <v>44</v>
      </c>
      <c r="G638" s="267"/>
      <c r="H638" s="316">
        <v>2.77</v>
      </c>
      <c r="I638" s="316"/>
      <c r="J638" s="269"/>
      <c r="K638" s="269"/>
      <c r="L638" s="269"/>
      <c r="M638" s="319">
        <v>1308</v>
      </c>
      <c r="N638" s="271" t="s">
        <v>81</v>
      </c>
      <c r="O638" s="272">
        <v>1</v>
      </c>
      <c r="P638" s="296" t="s">
        <v>81</v>
      </c>
      <c r="Q638" s="273">
        <v>8</v>
      </c>
      <c r="R638" s="271" t="s">
        <v>112</v>
      </c>
      <c r="S638" s="290">
        <f t="shared" si="294"/>
        <v>8</v>
      </c>
      <c r="T638" s="275">
        <v>1</v>
      </c>
      <c r="U638" s="290">
        <f t="shared" si="295"/>
        <v>9</v>
      </c>
      <c r="V638" s="276" t="s">
        <v>48</v>
      </c>
    </row>
    <row r="639" spans="1:22" s="172" customFormat="1" ht="20.25" customHeight="1">
      <c r="A639" s="263">
        <f t="shared" si="292"/>
        <v>638</v>
      </c>
      <c r="B639" s="263" t="s">
        <v>1263</v>
      </c>
      <c r="C639" s="264">
        <f t="shared" si="276"/>
        <v>638</v>
      </c>
      <c r="D639" s="265" t="s">
        <v>1798</v>
      </c>
      <c r="E639" s="279">
        <f>C634</f>
        <v>633</v>
      </c>
      <c r="F639" s="267"/>
      <c r="G639" s="267"/>
      <c r="H639" s="268"/>
      <c r="I639" s="268"/>
      <c r="J639" s="269"/>
      <c r="K639" s="269"/>
      <c r="L639" s="269"/>
      <c r="M639" s="319"/>
      <c r="N639" s="271"/>
      <c r="O639" s="280"/>
      <c r="P639" s="271"/>
      <c r="Q639" s="281"/>
      <c r="R639" s="271"/>
      <c r="S639" s="312"/>
      <c r="T639" s="282"/>
      <c r="U639" s="312"/>
      <c r="V639" s="276"/>
    </row>
    <row r="640" spans="1:22" s="172" customFormat="1" ht="20.25" customHeight="1">
      <c r="A640" s="263" t="str">
        <f t="shared" si="292"/>
        <v/>
      </c>
      <c r="B640" s="263"/>
      <c r="C640" s="264">
        <f t="shared" si="276"/>
        <v>639</v>
      </c>
      <c r="D640" s="277" t="s">
        <v>1799</v>
      </c>
      <c r="E640" s="279"/>
      <c r="F640" s="267"/>
      <c r="G640" s="267"/>
      <c r="H640" s="268"/>
      <c r="I640" s="268"/>
      <c r="J640" s="269"/>
      <c r="K640" s="269"/>
      <c r="L640" s="269"/>
      <c r="M640" s="319">
        <v>1</v>
      </c>
      <c r="N640" s="296" t="s">
        <v>81</v>
      </c>
      <c r="O640" s="272">
        <v>1</v>
      </c>
      <c r="P640" s="271" t="s">
        <v>661</v>
      </c>
      <c r="Q640" s="273">
        <v>4</v>
      </c>
      <c r="R640" s="271" t="s">
        <v>112</v>
      </c>
      <c r="S640" s="290">
        <f t="shared" ref="S640" si="300">O640*Q640</f>
        <v>4</v>
      </c>
      <c r="T640" s="275">
        <v>1</v>
      </c>
      <c r="U640" s="290">
        <f t="shared" si="295"/>
        <v>5</v>
      </c>
      <c r="V640" s="276" t="s">
        <v>48</v>
      </c>
    </row>
    <row r="641" spans="1:22" s="172" customFormat="1" ht="20.25" customHeight="1">
      <c r="A641" s="263" t="str">
        <f t="shared" si="292"/>
        <v/>
      </c>
      <c r="B641" s="263"/>
      <c r="C641" s="264">
        <f t="shared" si="276"/>
        <v>640</v>
      </c>
      <c r="D641" s="277" t="s">
        <v>1798</v>
      </c>
      <c r="E641" s="293">
        <f>C640</f>
        <v>639</v>
      </c>
      <c r="F641" s="267" t="s">
        <v>656</v>
      </c>
      <c r="G641" s="267"/>
      <c r="H641" s="268"/>
      <c r="I641" s="268"/>
      <c r="J641" s="316">
        <v>6130</v>
      </c>
      <c r="K641" s="322" t="s">
        <v>1835</v>
      </c>
      <c r="L641" s="367" t="str">
        <f>J641&amp;" "&amp;K641</f>
        <v>6130 lg</v>
      </c>
      <c r="M641" s="319">
        <v>1</v>
      </c>
      <c r="N641" s="296" t="s">
        <v>81</v>
      </c>
      <c r="O641" s="272">
        <v>1</v>
      </c>
      <c r="P641" s="271" t="s">
        <v>661</v>
      </c>
      <c r="Q641" s="273">
        <v>12</v>
      </c>
      <c r="R641" s="271" t="s">
        <v>112</v>
      </c>
      <c r="S641" s="290">
        <f t="shared" si="294"/>
        <v>12</v>
      </c>
      <c r="T641" s="275">
        <v>1</v>
      </c>
      <c r="U641" s="290">
        <f t="shared" si="295"/>
        <v>13</v>
      </c>
      <c r="V641" s="276" t="s">
        <v>48</v>
      </c>
    </row>
    <row r="642" spans="1:22" s="172" customFormat="1" ht="20.25" customHeight="1">
      <c r="A642" s="263" t="str">
        <f t="shared" si="292"/>
        <v/>
      </c>
      <c r="B642" s="263"/>
      <c r="C642" s="264">
        <f t="shared" si="276"/>
        <v>641</v>
      </c>
      <c r="D642" s="277" t="s">
        <v>1800</v>
      </c>
      <c r="E642" s="293">
        <f t="shared" si="296"/>
        <v>640</v>
      </c>
      <c r="F642" s="267" t="s">
        <v>348</v>
      </c>
      <c r="G642" s="267"/>
      <c r="H642" s="268"/>
      <c r="I642" s="268"/>
      <c r="J642" s="317">
        <f>J641</f>
        <v>6130</v>
      </c>
      <c r="K642" s="317" t="str">
        <f>K641</f>
        <v>lg</v>
      </c>
      <c r="L642" s="367" t="str">
        <f>J642&amp;" "&amp;K642</f>
        <v>6130 lg</v>
      </c>
      <c r="M642" s="319">
        <v>1</v>
      </c>
      <c r="N642" s="296" t="s">
        <v>81</v>
      </c>
      <c r="O642" s="272">
        <v>1</v>
      </c>
      <c r="P642" s="271" t="s">
        <v>661</v>
      </c>
      <c r="Q642" s="273">
        <v>1</v>
      </c>
      <c r="R642" s="271" t="s">
        <v>41</v>
      </c>
      <c r="S642" s="290">
        <f t="shared" si="294"/>
        <v>1</v>
      </c>
      <c r="T642" s="275">
        <v>0</v>
      </c>
      <c r="U642" s="290">
        <f t="shared" si="295"/>
        <v>1</v>
      </c>
      <c r="V642" s="276" t="s">
        <v>48</v>
      </c>
    </row>
    <row r="643" spans="1:22" s="172" customFormat="1" ht="20.25" customHeight="1">
      <c r="A643" s="263" t="str">
        <f t="shared" si="292"/>
        <v/>
      </c>
      <c r="B643" s="263"/>
      <c r="C643" s="264">
        <f t="shared" si="276"/>
        <v>642</v>
      </c>
      <c r="D643" s="277" t="s">
        <v>1801</v>
      </c>
      <c r="E643" s="293">
        <f t="shared" si="296"/>
        <v>641</v>
      </c>
      <c r="F643" s="267" t="s">
        <v>640</v>
      </c>
      <c r="G643" s="267"/>
      <c r="H643" s="268"/>
      <c r="I643" s="268"/>
      <c r="J643" s="317">
        <f>J642</f>
        <v>6130</v>
      </c>
      <c r="K643" s="317" t="str">
        <f>K642</f>
        <v>lg</v>
      </c>
      <c r="L643" s="367" t="str">
        <f t="shared" ref="L643" si="301">J643&amp;" "&amp;K643</f>
        <v>6130 lg</v>
      </c>
      <c r="M643" s="319">
        <v>1</v>
      </c>
      <c r="N643" s="296" t="s">
        <v>81</v>
      </c>
      <c r="O643" s="272">
        <v>1</v>
      </c>
      <c r="P643" s="271" t="s">
        <v>661</v>
      </c>
      <c r="Q643" s="273">
        <v>4</v>
      </c>
      <c r="R643" s="271" t="s">
        <v>112</v>
      </c>
      <c r="S643" s="290">
        <f t="shared" si="294"/>
        <v>4</v>
      </c>
      <c r="T643" s="275">
        <v>0</v>
      </c>
      <c r="U643" s="290">
        <f t="shared" si="295"/>
        <v>4</v>
      </c>
      <c r="V643" s="276" t="s">
        <v>48</v>
      </c>
    </row>
    <row r="644" spans="1:22" s="172" customFormat="1" ht="20.25" customHeight="1">
      <c r="A644" s="263">
        <f t="shared" si="292"/>
        <v>643</v>
      </c>
      <c r="B644" s="263" t="s">
        <v>1263</v>
      </c>
      <c r="C644" s="264">
        <f>C643+1</f>
        <v>643</v>
      </c>
      <c r="D644" s="265" t="s">
        <v>1304</v>
      </c>
      <c r="E644" s="279">
        <f>C1274</f>
        <v>1263</v>
      </c>
      <c r="F644" s="267"/>
      <c r="G644" s="267"/>
      <c r="H644" s="268"/>
      <c r="I644" s="268"/>
      <c r="J644" s="269"/>
      <c r="K644" s="269"/>
      <c r="L644" s="269"/>
      <c r="M644" s="270"/>
      <c r="N644" s="271"/>
      <c r="O644" s="280"/>
      <c r="P644" s="271"/>
      <c r="Q644" s="281"/>
      <c r="R644" s="271"/>
      <c r="S644" s="269"/>
      <c r="T644" s="282"/>
      <c r="U644" s="312"/>
      <c r="V644" s="276"/>
    </row>
    <row r="645" spans="1:22" s="172" customFormat="1" ht="20.25" customHeight="1">
      <c r="A645" s="263" t="str">
        <f t="shared" si="292"/>
        <v/>
      </c>
      <c r="B645" s="263"/>
      <c r="C645" s="264">
        <f t="shared" ref="C645:C708" si="302">C644+1</f>
        <v>644</v>
      </c>
      <c r="D645" s="277" t="s">
        <v>1305</v>
      </c>
      <c r="E645" s="278"/>
      <c r="F645" s="267" t="s">
        <v>37</v>
      </c>
      <c r="G645" s="267"/>
      <c r="H645" s="283">
        <v>24</v>
      </c>
      <c r="I645" s="283"/>
      <c r="J645" s="283" t="s">
        <v>38</v>
      </c>
      <c r="K645" s="283"/>
      <c r="L645" s="367" t="str">
        <f t="shared" ref="L645:L646" si="303">J645&amp;" "&amp;K645</f>
        <v xml:space="preserve">ID dish </v>
      </c>
      <c r="M645" s="285">
        <v>1</v>
      </c>
      <c r="N645" s="296" t="s">
        <v>81</v>
      </c>
      <c r="O645" s="287">
        <v>1</v>
      </c>
      <c r="P645" s="271" t="s">
        <v>81</v>
      </c>
      <c r="Q645" s="288">
        <v>4</v>
      </c>
      <c r="R645" s="289" t="s">
        <v>41</v>
      </c>
      <c r="S645" s="290">
        <f>O645*Q645</f>
        <v>4</v>
      </c>
      <c r="T645" s="291"/>
      <c r="U645" s="290">
        <f t="shared" si="295"/>
        <v>4</v>
      </c>
      <c r="V645" s="276" t="s">
        <v>42</v>
      </c>
    </row>
    <row r="646" spans="1:22" s="172" customFormat="1" ht="20.25" customHeight="1">
      <c r="A646" s="263" t="str">
        <f t="shared" si="292"/>
        <v/>
      </c>
      <c r="B646" s="263"/>
      <c r="C646" s="264">
        <f t="shared" si="302"/>
        <v>645</v>
      </c>
      <c r="D646" s="277" t="s">
        <v>1802</v>
      </c>
      <c r="E646" s="293">
        <f t="shared" ref="E646:E659" si="304">C645</f>
        <v>644</v>
      </c>
      <c r="F646" s="267" t="s">
        <v>44</v>
      </c>
      <c r="G646" s="267"/>
      <c r="H646" s="316">
        <v>24</v>
      </c>
      <c r="I646" s="316"/>
      <c r="J646" s="294">
        <v>6723</v>
      </c>
      <c r="K646" s="294" t="s">
        <v>1831</v>
      </c>
      <c r="L646" s="367" t="str">
        <f t="shared" si="303"/>
        <v>6723 mm</v>
      </c>
      <c r="M646" s="295">
        <v>1</v>
      </c>
      <c r="N646" s="296" t="s">
        <v>81</v>
      </c>
      <c r="O646" s="297">
        <f>LEFT(L646,SEARCH(" ",L646,1)-1)*M646*0.001</f>
        <v>6.7229999999999999</v>
      </c>
      <c r="P646" s="298" t="s">
        <v>46</v>
      </c>
      <c r="Q646" s="299">
        <f>VLOOKUP(H646,BM!$B$3:$Y$62,2,FALSE)</f>
        <v>0.1</v>
      </c>
      <c r="R646" s="300" t="s">
        <v>47</v>
      </c>
      <c r="S646" s="290">
        <f t="shared" ref="S646" si="305">O646*Q646</f>
        <v>0.67230000000000001</v>
      </c>
      <c r="T646" s="301">
        <v>1</v>
      </c>
      <c r="U646" s="290">
        <f t="shared" si="295"/>
        <v>1.67</v>
      </c>
      <c r="V646" s="302" t="s">
        <v>48</v>
      </c>
    </row>
    <row r="647" spans="1:22" s="172" customFormat="1" ht="20.25" customHeight="1">
      <c r="A647" s="263" t="str">
        <f t="shared" si="292"/>
        <v/>
      </c>
      <c r="B647" s="263"/>
      <c r="C647" s="264">
        <f t="shared" si="302"/>
        <v>646</v>
      </c>
      <c r="D647" s="277" t="s">
        <v>1307</v>
      </c>
      <c r="E647" s="293">
        <f t="shared" si="304"/>
        <v>645</v>
      </c>
      <c r="F647" s="267" t="s">
        <v>44</v>
      </c>
      <c r="G647" s="267"/>
      <c r="H647" s="316">
        <v>24</v>
      </c>
      <c r="I647" s="316"/>
      <c r="J647" s="303"/>
      <c r="K647" s="303"/>
      <c r="L647" s="303"/>
      <c r="M647" s="304">
        <v>1</v>
      </c>
      <c r="N647" s="296" t="s">
        <v>81</v>
      </c>
      <c r="O647" s="305">
        <v>1</v>
      </c>
      <c r="P647" s="296" t="s">
        <v>81</v>
      </c>
      <c r="Q647" s="306">
        <v>1</v>
      </c>
      <c r="R647" s="271" t="s">
        <v>41</v>
      </c>
      <c r="S647" s="307">
        <v>1</v>
      </c>
      <c r="T647" s="275"/>
      <c r="U647" s="290">
        <f t="shared" si="295"/>
        <v>1</v>
      </c>
      <c r="V647" s="276" t="s">
        <v>42</v>
      </c>
    </row>
    <row r="648" spans="1:22" s="172" customFormat="1" ht="20.25" customHeight="1">
      <c r="A648" s="263" t="str">
        <f t="shared" si="292"/>
        <v/>
      </c>
      <c r="B648" s="263"/>
      <c r="C648" s="264">
        <f t="shared" si="302"/>
        <v>647</v>
      </c>
      <c r="D648" s="277" t="s">
        <v>1308</v>
      </c>
      <c r="E648" s="293">
        <f t="shared" si="304"/>
        <v>646</v>
      </c>
      <c r="F648" s="267" t="s">
        <v>52</v>
      </c>
      <c r="G648" s="267"/>
      <c r="H648" s="316">
        <v>24</v>
      </c>
      <c r="I648" s="316"/>
      <c r="J648" s="308">
        <f>J646</f>
        <v>6723</v>
      </c>
      <c r="K648" s="308" t="str">
        <f>K646</f>
        <v>mm</v>
      </c>
      <c r="L648" s="367" t="str">
        <f t="shared" ref="L648" si="306">J648&amp;" "&amp;K648</f>
        <v>6723 mm</v>
      </c>
      <c r="M648" s="304">
        <v>1</v>
      </c>
      <c r="N648" s="296" t="s">
        <v>81</v>
      </c>
      <c r="O648" s="297">
        <f>LEFT(L648,SEARCH(" ",L648,1)-1)*M648*0.001</f>
        <v>6.7229999999999999</v>
      </c>
      <c r="P648" s="271" t="s">
        <v>46</v>
      </c>
      <c r="Q648" s="299">
        <f>VLOOKUP(H648,BM!$B$3:$Y$62,3,FALSE)</f>
        <v>0.25</v>
      </c>
      <c r="R648" s="300" t="s">
        <v>53</v>
      </c>
      <c r="S648" s="290">
        <f t="shared" ref="S648:S659" si="307">O648*Q648</f>
        <v>1.68075</v>
      </c>
      <c r="T648" s="301">
        <v>1</v>
      </c>
      <c r="U648" s="290">
        <f t="shared" si="295"/>
        <v>2.68</v>
      </c>
      <c r="V648" s="302" t="s">
        <v>48</v>
      </c>
    </row>
    <row r="649" spans="1:22" s="172" customFormat="1" ht="20.25" customHeight="1">
      <c r="A649" s="263" t="str">
        <f t="shared" si="292"/>
        <v/>
      </c>
      <c r="B649" s="263"/>
      <c r="C649" s="264">
        <f t="shared" si="302"/>
        <v>648</v>
      </c>
      <c r="D649" s="277" t="s">
        <v>1309</v>
      </c>
      <c r="E649" s="293">
        <f t="shared" si="304"/>
        <v>647</v>
      </c>
      <c r="F649" s="267" t="s">
        <v>55</v>
      </c>
      <c r="G649" s="267"/>
      <c r="H649" s="316">
        <v>24</v>
      </c>
      <c r="I649" s="316"/>
      <c r="J649" s="308">
        <f>J648</f>
        <v>6723</v>
      </c>
      <c r="K649" s="308" t="str">
        <f>K648</f>
        <v>mm</v>
      </c>
      <c r="L649" s="367" t="str">
        <f t="shared" ref="L649" si="308">J649&amp;" "&amp;K649</f>
        <v>6723 mm</v>
      </c>
      <c r="M649" s="304">
        <v>1</v>
      </c>
      <c r="N649" s="296" t="s">
        <v>81</v>
      </c>
      <c r="O649" s="305">
        <v>1</v>
      </c>
      <c r="P649" s="296" t="s">
        <v>81</v>
      </c>
      <c r="Q649" s="309">
        <v>10</v>
      </c>
      <c r="R649" s="300" t="s">
        <v>41</v>
      </c>
      <c r="S649" s="290">
        <f t="shared" si="307"/>
        <v>10</v>
      </c>
      <c r="T649" s="301"/>
      <c r="U649" s="290">
        <f t="shared" si="295"/>
        <v>10</v>
      </c>
      <c r="V649" s="276" t="s">
        <v>42</v>
      </c>
    </row>
    <row r="650" spans="1:22" s="172" customFormat="1" ht="20.25" customHeight="1">
      <c r="A650" s="263" t="str">
        <f t="shared" si="292"/>
        <v/>
      </c>
      <c r="B650" s="263"/>
      <c r="C650" s="264">
        <f t="shared" si="302"/>
        <v>649</v>
      </c>
      <c r="D650" s="277" t="s">
        <v>1310</v>
      </c>
      <c r="E650" s="293">
        <f t="shared" si="304"/>
        <v>648</v>
      </c>
      <c r="F650" s="267" t="s">
        <v>44</v>
      </c>
      <c r="G650" s="267"/>
      <c r="H650" s="316">
        <v>24</v>
      </c>
      <c r="I650" s="316"/>
      <c r="J650" s="308">
        <f t="shared" ref="J650" si="309">J649</f>
        <v>6723</v>
      </c>
      <c r="K650" s="308" t="str">
        <f t="shared" ref="K650:L656" si="310">K649</f>
        <v>mm</v>
      </c>
      <c r="L650" s="367" t="str">
        <f t="shared" ref="L650" si="311">J650&amp;" "&amp;K650</f>
        <v>6723 mm</v>
      </c>
      <c r="M650" s="304">
        <v>1</v>
      </c>
      <c r="N650" s="296" t="s">
        <v>81</v>
      </c>
      <c r="O650" s="272">
        <v>1</v>
      </c>
      <c r="P650" s="296" t="s">
        <v>81</v>
      </c>
      <c r="Q650" s="309">
        <v>1</v>
      </c>
      <c r="R650" s="300" t="s">
        <v>41</v>
      </c>
      <c r="S650" s="290">
        <f t="shared" si="307"/>
        <v>1</v>
      </c>
      <c r="T650" s="301"/>
      <c r="U650" s="290">
        <f t="shared" si="295"/>
        <v>1</v>
      </c>
      <c r="V650" s="276" t="s">
        <v>42</v>
      </c>
    </row>
    <row r="651" spans="1:22" s="172" customFormat="1" ht="20.25" customHeight="1">
      <c r="A651" s="263" t="str">
        <f t="shared" si="292"/>
        <v/>
      </c>
      <c r="B651" s="263"/>
      <c r="C651" s="264">
        <f t="shared" si="302"/>
        <v>650</v>
      </c>
      <c r="D651" s="277" t="s">
        <v>1311</v>
      </c>
      <c r="E651" s="293">
        <f t="shared" si="304"/>
        <v>649</v>
      </c>
      <c r="F651" s="267" t="s">
        <v>55</v>
      </c>
      <c r="G651" s="267"/>
      <c r="H651" s="316">
        <v>24</v>
      </c>
      <c r="I651" s="316"/>
      <c r="J651" s="308">
        <f t="shared" ref="J651" si="312">J650</f>
        <v>6723</v>
      </c>
      <c r="K651" s="308" t="str">
        <f t="shared" si="310"/>
        <v>mm</v>
      </c>
      <c r="L651" s="367" t="str">
        <f t="shared" ref="L651" si="313">J651&amp;" "&amp;K651</f>
        <v>6723 mm</v>
      </c>
      <c r="M651" s="304">
        <v>1</v>
      </c>
      <c r="N651" s="296" t="s">
        <v>81</v>
      </c>
      <c r="O651" s="272">
        <v>1</v>
      </c>
      <c r="P651" s="296" t="s">
        <v>81</v>
      </c>
      <c r="Q651" s="309">
        <v>1</v>
      </c>
      <c r="R651" s="300" t="s">
        <v>41</v>
      </c>
      <c r="S651" s="290">
        <f t="shared" si="307"/>
        <v>1</v>
      </c>
      <c r="T651" s="301"/>
      <c r="U651" s="290">
        <f t="shared" si="295"/>
        <v>1</v>
      </c>
      <c r="V651" s="276" t="s">
        <v>42</v>
      </c>
    </row>
    <row r="652" spans="1:22" s="172" customFormat="1" ht="20.25" customHeight="1">
      <c r="A652" s="263" t="str">
        <f t="shared" si="292"/>
        <v/>
      </c>
      <c r="B652" s="263"/>
      <c r="C652" s="264">
        <f t="shared" si="302"/>
        <v>651</v>
      </c>
      <c r="D652" s="277" t="s">
        <v>1312</v>
      </c>
      <c r="E652" s="293">
        <f t="shared" si="304"/>
        <v>650</v>
      </c>
      <c r="F652" s="267" t="s">
        <v>55</v>
      </c>
      <c r="G652" s="267"/>
      <c r="H652" s="316">
        <v>24</v>
      </c>
      <c r="I652" s="316"/>
      <c r="J652" s="308">
        <f t="shared" ref="J652" si="314">J651</f>
        <v>6723</v>
      </c>
      <c r="K652" s="308" t="str">
        <f t="shared" si="310"/>
        <v>mm</v>
      </c>
      <c r="L652" s="367" t="str">
        <f t="shared" ref="L652" si="315">J652&amp;" "&amp;K652</f>
        <v>6723 mm</v>
      </c>
      <c r="M652" s="304">
        <v>1</v>
      </c>
      <c r="N652" s="296" t="s">
        <v>81</v>
      </c>
      <c r="O652" s="272">
        <v>1</v>
      </c>
      <c r="P652" s="296" t="s">
        <v>81</v>
      </c>
      <c r="Q652" s="309">
        <v>4</v>
      </c>
      <c r="R652" s="300" t="s">
        <v>41</v>
      </c>
      <c r="S652" s="290">
        <f t="shared" si="307"/>
        <v>4</v>
      </c>
      <c r="T652" s="301"/>
      <c r="U652" s="290">
        <f t="shared" si="295"/>
        <v>4</v>
      </c>
      <c r="V652" s="276" t="s">
        <v>42</v>
      </c>
    </row>
    <row r="653" spans="1:22" s="172" customFormat="1" ht="20.25" customHeight="1">
      <c r="A653" s="263" t="str">
        <f t="shared" si="292"/>
        <v/>
      </c>
      <c r="B653" s="263"/>
      <c r="C653" s="264">
        <f t="shared" si="302"/>
        <v>652</v>
      </c>
      <c r="D653" s="277" t="s">
        <v>1313</v>
      </c>
      <c r="E653" s="293">
        <f t="shared" si="304"/>
        <v>651</v>
      </c>
      <c r="F653" s="267" t="s">
        <v>44</v>
      </c>
      <c r="G653" s="267"/>
      <c r="H653" s="316">
        <v>24</v>
      </c>
      <c r="I653" s="316"/>
      <c r="J653" s="308">
        <f t="shared" ref="J653" si="316">J652</f>
        <v>6723</v>
      </c>
      <c r="K653" s="308" t="str">
        <f t="shared" si="310"/>
        <v>mm</v>
      </c>
      <c r="L653" s="367" t="str">
        <f t="shared" ref="L653" si="317">J653&amp;" "&amp;K653</f>
        <v>6723 mm</v>
      </c>
      <c r="M653" s="304">
        <v>1</v>
      </c>
      <c r="N653" s="296" t="s">
        <v>81</v>
      </c>
      <c r="O653" s="272">
        <v>1</v>
      </c>
      <c r="P653" s="296" t="s">
        <v>81</v>
      </c>
      <c r="Q653" s="309">
        <v>1</v>
      </c>
      <c r="R653" s="300" t="s">
        <v>41</v>
      </c>
      <c r="S653" s="290">
        <f t="shared" si="307"/>
        <v>1</v>
      </c>
      <c r="T653" s="301"/>
      <c r="U653" s="290">
        <f t="shared" si="295"/>
        <v>1</v>
      </c>
      <c r="V653" s="276" t="s">
        <v>42</v>
      </c>
    </row>
    <row r="654" spans="1:22" s="172" customFormat="1" ht="20.25" customHeight="1">
      <c r="A654" s="263" t="str">
        <f t="shared" si="292"/>
        <v/>
      </c>
      <c r="B654" s="263"/>
      <c r="C654" s="264">
        <f t="shared" si="302"/>
        <v>653</v>
      </c>
      <c r="D654" s="277" t="s">
        <v>1314</v>
      </c>
      <c r="E654" s="293">
        <f t="shared" si="304"/>
        <v>652</v>
      </c>
      <c r="F654" s="267" t="s">
        <v>61</v>
      </c>
      <c r="G654" s="267"/>
      <c r="H654" s="316">
        <v>24</v>
      </c>
      <c r="I654" s="316"/>
      <c r="J654" s="308">
        <f t="shared" ref="J654" si="318">J653</f>
        <v>6723</v>
      </c>
      <c r="K654" s="308" t="str">
        <f t="shared" si="310"/>
        <v>mm</v>
      </c>
      <c r="L654" s="367" t="str">
        <f t="shared" ref="L654" si="319">J654&amp;" "&amp;K654</f>
        <v>6723 mm</v>
      </c>
      <c r="M654" s="304">
        <v>1</v>
      </c>
      <c r="N654" s="296" t="s">
        <v>81</v>
      </c>
      <c r="O654" s="272">
        <v>1</v>
      </c>
      <c r="P654" s="296" t="s">
        <v>81</v>
      </c>
      <c r="Q654" s="309">
        <v>1</v>
      </c>
      <c r="R654" s="300" t="s">
        <v>41</v>
      </c>
      <c r="S654" s="290">
        <f t="shared" si="307"/>
        <v>1</v>
      </c>
      <c r="T654" s="301">
        <v>1</v>
      </c>
      <c r="U654" s="290">
        <f t="shared" si="295"/>
        <v>2</v>
      </c>
      <c r="V654" s="276" t="s">
        <v>42</v>
      </c>
    </row>
    <row r="655" spans="1:22" s="172" customFormat="1" ht="20.25" customHeight="1">
      <c r="A655" s="263" t="str">
        <f t="shared" si="292"/>
        <v/>
      </c>
      <c r="B655" s="263"/>
      <c r="C655" s="264">
        <f t="shared" si="302"/>
        <v>654</v>
      </c>
      <c r="D655" s="277" t="s">
        <v>1315</v>
      </c>
      <c r="E655" s="293">
        <f t="shared" si="304"/>
        <v>653</v>
      </c>
      <c r="F655" s="267" t="s">
        <v>63</v>
      </c>
      <c r="G655" s="267"/>
      <c r="H655" s="316">
        <v>24</v>
      </c>
      <c r="I655" s="316"/>
      <c r="J655" s="308">
        <f t="shared" ref="J655" si="320">J654</f>
        <v>6723</v>
      </c>
      <c r="K655" s="308" t="str">
        <f t="shared" si="310"/>
        <v>mm</v>
      </c>
      <c r="L655" s="367" t="str">
        <f t="shared" ref="L655" si="321">J655&amp;" "&amp;K655</f>
        <v>6723 mm</v>
      </c>
      <c r="M655" s="304">
        <v>1</v>
      </c>
      <c r="N655" s="296" t="s">
        <v>81</v>
      </c>
      <c r="O655" s="272">
        <v>1</v>
      </c>
      <c r="P655" s="296" t="s">
        <v>81</v>
      </c>
      <c r="Q655" s="309">
        <v>1</v>
      </c>
      <c r="R655" s="300" t="s">
        <v>41</v>
      </c>
      <c r="S655" s="290">
        <f t="shared" si="307"/>
        <v>1</v>
      </c>
      <c r="T655" s="301"/>
      <c r="U655" s="290">
        <f t="shared" si="295"/>
        <v>1</v>
      </c>
      <c r="V655" s="276" t="s">
        <v>42</v>
      </c>
    </row>
    <row r="656" spans="1:22" s="172" customFormat="1" ht="20.25" customHeight="1">
      <c r="A656" s="263" t="str">
        <f t="shared" si="292"/>
        <v/>
      </c>
      <c r="B656" s="263"/>
      <c r="C656" s="264">
        <f t="shared" si="302"/>
        <v>655</v>
      </c>
      <c r="D656" s="277" t="s">
        <v>1316</v>
      </c>
      <c r="E656" s="293">
        <f t="shared" si="304"/>
        <v>654</v>
      </c>
      <c r="F656" s="267" t="s">
        <v>63</v>
      </c>
      <c r="G656" s="267"/>
      <c r="H656" s="316">
        <v>24</v>
      </c>
      <c r="I656" s="316"/>
      <c r="J656" s="308">
        <f t="shared" ref="J656" si="322">J655</f>
        <v>6723</v>
      </c>
      <c r="K656" s="308" t="str">
        <f t="shared" si="310"/>
        <v>mm</v>
      </c>
      <c r="L656" s="367" t="str">
        <f t="shared" ref="L656" si="323">J656&amp;" "&amp;K656</f>
        <v>6723 mm</v>
      </c>
      <c r="M656" s="304">
        <v>1</v>
      </c>
      <c r="N656" s="296" t="s">
        <v>81</v>
      </c>
      <c r="O656" s="272">
        <v>1</v>
      </c>
      <c r="P656" s="296" t="s">
        <v>81</v>
      </c>
      <c r="Q656" s="309">
        <v>1</v>
      </c>
      <c r="R656" s="300" t="s">
        <v>41</v>
      </c>
      <c r="S656" s="290">
        <f t="shared" si="307"/>
        <v>1</v>
      </c>
      <c r="T656" s="301"/>
      <c r="U656" s="290">
        <f t="shared" si="295"/>
        <v>1</v>
      </c>
      <c r="V656" s="276" t="s">
        <v>42</v>
      </c>
    </row>
    <row r="657" spans="1:22" s="172" customFormat="1" ht="20.25" customHeight="1">
      <c r="A657" s="263" t="str">
        <f t="shared" si="292"/>
        <v/>
      </c>
      <c r="B657" s="263"/>
      <c r="C657" s="264">
        <f t="shared" si="302"/>
        <v>656</v>
      </c>
      <c r="D657" s="277" t="s">
        <v>1317</v>
      </c>
      <c r="E657" s="293">
        <f t="shared" si="304"/>
        <v>655</v>
      </c>
      <c r="F657" s="267" t="s">
        <v>44</v>
      </c>
      <c r="G657" s="267" t="s">
        <v>66</v>
      </c>
      <c r="H657" s="316">
        <v>24</v>
      </c>
      <c r="I657" s="316"/>
      <c r="J657" s="315">
        <v>1692</v>
      </c>
      <c r="K657" s="294" t="s">
        <v>1832</v>
      </c>
      <c r="L657" s="367" t="str">
        <f>J657&amp;" "&amp;K657</f>
        <v>1692 od</v>
      </c>
      <c r="M657" s="304">
        <v>1</v>
      </c>
      <c r="N657" s="296" t="s">
        <v>81</v>
      </c>
      <c r="O657" s="297">
        <f>LEFT(L657,SEARCH(" ",L657,1)-1)*M657*0.001*3.142</f>
        <v>5.3162639999999994</v>
      </c>
      <c r="P657" s="271" t="s">
        <v>68</v>
      </c>
      <c r="Q657" s="299">
        <f>VLOOKUP(H657,BM!$B$3:$Y$62,2,FALSE)</f>
        <v>0.1</v>
      </c>
      <c r="R657" s="300" t="s">
        <v>53</v>
      </c>
      <c r="S657" s="290">
        <f t="shared" si="307"/>
        <v>0.53162639999999994</v>
      </c>
      <c r="T657" s="301">
        <v>1</v>
      </c>
      <c r="U657" s="290">
        <f t="shared" si="295"/>
        <v>1.53</v>
      </c>
      <c r="V657" s="302" t="s">
        <v>48</v>
      </c>
    </row>
    <row r="658" spans="1:22" s="172" customFormat="1" ht="20.25" customHeight="1">
      <c r="A658" s="263" t="str">
        <f t="shared" si="292"/>
        <v/>
      </c>
      <c r="B658" s="263"/>
      <c r="C658" s="264">
        <f t="shared" si="302"/>
        <v>657</v>
      </c>
      <c r="D658" s="277" t="s">
        <v>1318</v>
      </c>
      <c r="E658" s="293">
        <f t="shared" si="304"/>
        <v>656</v>
      </c>
      <c r="F658" s="267" t="s">
        <v>52</v>
      </c>
      <c r="G658" s="267"/>
      <c r="H658" s="316">
        <v>24</v>
      </c>
      <c r="I658" s="316"/>
      <c r="J658" s="308">
        <f>J657</f>
        <v>1692</v>
      </c>
      <c r="K658" s="308" t="str">
        <f>K657</f>
        <v>od</v>
      </c>
      <c r="L658" s="367" t="str">
        <f t="shared" ref="L658" si="324">J658&amp;" "&amp;K658</f>
        <v>1692 od</v>
      </c>
      <c r="M658" s="304">
        <v>1</v>
      </c>
      <c r="N658" s="296" t="s">
        <v>81</v>
      </c>
      <c r="O658" s="297">
        <f>LEFT(L658,SEARCH(" ",L658,1)-1)*M658*0.001*3.142</f>
        <v>5.3162639999999994</v>
      </c>
      <c r="P658" s="271" t="s">
        <v>68</v>
      </c>
      <c r="Q658" s="299">
        <f>VLOOKUP(H658,BM!$B$3:$Y$62,15,FALSE)</f>
        <v>1</v>
      </c>
      <c r="R658" s="300" t="s">
        <v>53</v>
      </c>
      <c r="S658" s="290">
        <f t="shared" si="307"/>
        <v>5.3162639999999994</v>
      </c>
      <c r="T658" s="301">
        <v>1</v>
      </c>
      <c r="U658" s="290">
        <f t="shared" si="295"/>
        <v>6.32</v>
      </c>
      <c r="V658" s="302" t="s">
        <v>48</v>
      </c>
    </row>
    <row r="659" spans="1:22" s="172" customFormat="1" ht="20.25" customHeight="1">
      <c r="A659" s="263" t="str">
        <f t="shared" si="292"/>
        <v/>
      </c>
      <c r="B659" s="263"/>
      <c r="C659" s="264">
        <f t="shared" si="302"/>
        <v>658</v>
      </c>
      <c r="D659" s="277" t="s">
        <v>1319</v>
      </c>
      <c r="E659" s="293">
        <f t="shared" si="304"/>
        <v>657</v>
      </c>
      <c r="F659" s="267" t="s">
        <v>61</v>
      </c>
      <c r="G659" s="267"/>
      <c r="H659" s="316">
        <v>24</v>
      </c>
      <c r="I659" s="316"/>
      <c r="J659" s="308">
        <f>J658</f>
        <v>1692</v>
      </c>
      <c r="K659" s="308" t="str">
        <f>K658</f>
        <v>od</v>
      </c>
      <c r="L659" s="367" t="str">
        <f t="shared" ref="L659" si="325">J659&amp;" "&amp;K659</f>
        <v>1692 od</v>
      </c>
      <c r="M659" s="304">
        <v>1</v>
      </c>
      <c r="N659" s="296" t="s">
        <v>81</v>
      </c>
      <c r="O659" s="297">
        <f>LEFT(L659,SEARCH(" ",L659,1)-1)*M659*0.001*3.142</f>
        <v>5.3162639999999994</v>
      </c>
      <c r="P659" s="271" t="s">
        <v>68</v>
      </c>
      <c r="Q659" s="299">
        <f>VLOOKUP(H659,BM!$B$3:$Y$62,6,FALSE)</f>
        <v>1</v>
      </c>
      <c r="R659" s="300" t="s">
        <v>53</v>
      </c>
      <c r="S659" s="290">
        <f t="shared" si="307"/>
        <v>5.3162639999999994</v>
      </c>
      <c r="T659" s="301"/>
      <c r="U659" s="290">
        <f t="shared" si="295"/>
        <v>5.32</v>
      </c>
      <c r="V659" s="302" t="s">
        <v>48</v>
      </c>
    </row>
    <row r="660" spans="1:22" s="172" customFormat="1" ht="20.25" customHeight="1">
      <c r="A660" s="263">
        <f t="shared" si="292"/>
        <v>659</v>
      </c>
      <c r="B660" s="263" t="s">
        <v>1263</v>
      </c>
      <c r="C660" s="264">
        <f t="shared" si="302"/>
        <v>659</v>
      </c>
      <c r="D660" s="265" t="s">
        <v>1320</v>
      </c>
      <c r="E660" s="266"/>
      <c r="F660" s="267"/>
      <c r="G660" s="267"/>
      <c r="H660" s="268"/>
      <c r="I660" s="268"/>
      <c r="J660" s="269"/>
      <c r="K660" s="269"/>
      <c r="L660" s="269"/>
      <c r="M660" s="304"/>
      <c r="N660" s="271"/>
      <c r="O660" s="280"/>
      <c r="P660" s="271"/>
      <c r="Q660" s="311"/>
      <c r="R660" s="300"/>
      <c r="S660" s="312"/>
      <c r="T660" s="313"/>
      <c r="U660" s="312"/>
      <c r="V660" s="302"/>
    </row>
    <row r="661" spans="1:22" s="172" customFormat="1" ht="20.25" customHeight="1">
      <c r="A661" s="263">
        <f t="shared" si="292"/>
        <v>660</v>
      </c>
      <c r="B661" s="263" t="s">
        <v>1263</v>
      </c>
      <c r="C661" s="264">
        <f t="shared" si="302"/>
        <v>660</v>
      </c>
      <c r="D661" s="265" t="s">
        <v>1321</v>
      </c>
      <c r="E661" s="279">
        <f>C1275</f>
        <v>1264</v>
      </c>
      <c r="F661" s="267"/>
      <c r="G661" s="267"/>
      <c r="H661" s="268"/>
      <c r="I661" s="268"/>
      <c r="J661" s="269"/>
      <c r="K661" s="269"/>
      <c r="L661" s="269"/>
      <c r="M661" s="304"/>
      <c r="N661" s="271"/>
      <c r="O661" s="280"/>
      <c r="P661" s="271"/>
      <c r="Q661" s="311"/>
      <c r="R661" s="300"/>
      <c r="S661" s="312"/>
      <c r="T661" s="313"/>
      <c r="U661" s="312"/>
      <c r="V661" s="302"/>
    </row>
    <row r="662" spans="1:22" s="172" customFormat="1" ht="20.25" customHeight="1">
      <c r="A662" s="263" t="str">
        <f t="shared" si="292"/>
        <v/>
      </c>
      <c r="B662" s="263"/>
      <c r="C662" s="264">
        <f t="shared" si="302"/>
        <v>661</v>
      </c>
      <c r="D662" s="277" t="s">
        <v>1322</v>
      </c>
      <c r="E662" s="278"/>
      <c r="F662" s="267"/>
      <c r="G662" s="267" t="s">
        <v>66</v>
      </c>
      <c r="H662" s="316">
        <v>145</v>
      </c>
      <c r="I662" s="322" t="s">
        <v>1848</v>
      </c>
      <c r="J662" s="317">
        <f>J659</f>
        <v>1692</v>
      </c>
      <c r="K662" s="317" t="str">
        <f>K659</f>
        <v>od</v>
      </c>
      <c r="L662" s="367" t="str">
        <f t="shared" ref="L662" si="326">J662&amp;" "&amp;K662</f>
        <v>1692 od</v>
      </c>
      <c r="M662" s="304">
        <v>1</v>
      </c>
      <c r="N662" s="296" t="s">
        <v>81</v>
      </c>
      <c r="O662" s="272">
        <v>1</v>
      </c>
      <c r="P662" s="296" t="s">
        <v>81</v>
      </c>
      <c r="Q662" s="309">
        <v>2</v>
      </c>
      <c r="R662" s="300" t="s">
        <v>41</v>
      </c>
      <c r="S662" s="290">
        <f t="shared" ref="S662:S663" si="327">O662*Q662</f>
        <v>2</v>
      </c>
      <c r="T662" s="301"/>
      <c r="U662" s="290">
        <f t="shared" si="295"/>
        <v>2</v>
      </c>
      <c r="V662" s="276" t="s">
        <v>42</v>
      </c>
    </row>
    <row r="663" spans="1:22" s="172" customFormat="1" ht="20.25" customHeight="1">
      <c r="A663" s="263" t="str">
        <f t="shared" si="292"/>
        <v/>
      </c>
      <c r="B663" s="263"/>
      <c r="C663" s="264">
        <f t="shared" si="302"/>
        <v>662</v>
      </c>
      <c r="D663" s="277" t="s">
        <v>1323</v>
      </c>
      <c r="E663" s="293">
        <f>C662</f>
        <v>661</v>
      </c>
      <c r="F663" s="267" t="s">
        <v>55</v>
      </c>
      <c r="G663" s="267"/>
      <c r="H663" s="308">
        <f>H662</f>
        <v>145</v>
      </c>
      <c r="I663" s="308" t="str">
        <f>I662</f>
        <v xml:space="preserve"> </v>
      </c>
      <c r="J663" s="317">
        <f>J662</f>
        <v>1692</v>
      </c>
      <c r="K663" s="317" t="str">
        <f>K662</f>
        <v>od</v>
      </c>
      <c r="L663" s="367" t="str">
        <f t="shared" ref="L663" si="328">J663&amp;" "&amp;K663</f>
        <v>1692 od</v>
      </c>
      <c r="M663" s="304">
        <v>1</v>
      </c>
      <c r="N663" s="296" t="s">
        <v>81</v>
      </c>
      <c r="O663" s="272">
        <v>1</v>
      </c>
      <c r="P663" s="296" t="s">
        <v>81</v>
      </c>
      <c r="Q663" s="309">
        <v>5</v>
      </c>
      <c r="R663" s="300" t="s">
        <v>41</v>
      </c>
      <c r="S663" s="290">
        <f t="shared" si="327"/>
        <v>5</v>
      </c>
      <c r="T663" s="301"/>
      <c r="U663" s="290">
        <f t="shared" si="295"/>
        <v>5</v>
      </c>
      <c r="V663" s="276" t="s">
        <v>42</v>
      </c>
    </row>
    <row r="664" spans="1:22" s="172" customFormat="1" ht="20.25" customHeight="1">
      <c r="A664" s="263">
        <f t="shared" si="292"/>
        <v>663</v>
      </c>
      <c r="B664" s="263" t="s">
        <v>1263</v>
      </c>
      <c r="C664" s="264">
        <f t="shared" si="302"/>
        <v>663</v>
      </c>
      <c r="D664" s="265" t="s">
        <v>1324</v>
      </c>
      <c r="E664" s="279">
        <f>C661</f>
        <v>660</v>
      </c>
      <c r="F664" s="267"/>
      <c r="G664" s="267"/>
      <c r="H664" s="268"/>
      <c r="I664" s="268"/>
      <c r="J664" s="269"/>
      <c r="K664" s="269"/>
      <c r="L664" s="269"/>
      <c r="M664" s="304"/>
      <c r="N664" s="271"/>
      <c r="O664" s="280"/>
      <c r="P664" s="271"/>
      <c r="Q664" s="311"/>
      <c r="R664" s="300"/>
      <c r="S664" s="312"/>
      <c r="T664" s="313"/>
      <c r="U664" s="312"/>
      <c r="V664" s="302"/>
    </row>
    <row r="665" spans="1:22" s="172" customFormat="1" ht="20.25" customHeight="1">
      <c r="A665" s="263" t="str">
        <f t="shared" si="292"/>
        <v/>
      </c>
      <c r="B665" s="263"/>
      <c r="C665" s="264">
        <f t="shared" si="302"/>
        <v>664</v>
      </c>
      <c r="D665" s="277" t="s">
        <v>1325</v>
      </c>
      <c r="E665" s="293"/>
      <c r="F665" s="267" t="s">
        <v>55</v>
      </c>
      <c r="G665" s="267"/>
      <c r="H665" s="317">
        <f>H662</f>
        <v>145</v>
      </c>
      <c r="I665" s="317" t="str">
        <f>I662</f>
        <v xml:space="preserve"> </v>
      </c>
      <c r="J665" s="316">
        <v>1308</v>
      </c>
      <c r="K665" s="322" t="s">
        <v>210</v>
      </c>
      <c r="L665" s="367" t="str">
        <f>J665&amp;" "&amp;K665</f>
        <v>1308 holes</v>
      </c>
      <c r="M665" s="304">
        <v>1</v>
      </c>
      <c r="N665" s="296" t="s">
        <v>81</v>
      </c>
      <c r="O665" s="297" t="e">
        <f>LEFT(L665,SEARCH(" ",L665,1)-1)*LEFT(H665,SEARCH(" ",H665,1)-1)*M665/1000</f>
        <v>#VALUE!</v>
      </c>
      <c r="P665" s="271" t="s">
        <v>79</v>
      </c>
      <c r="Q665" s="299">
        <f>1/1.5^1</f>
        <v>0.66666666666666663</v>
      </c>
      <c r="R665" s="300" t="s">
        <v>47</v>
      </c>
      <c r="S665" s="290" t="e">
        <f>O665*Q665/24</f>
        <v>#VALUE!</v>
      </c>
      <c r="T665" s="301"/>
      <c r="U665" s="290" t="e">
        <f t="shared" si="295"/>
        <v>#VALUE!</v>
      </c>
      <c r="V665" s="276" t="s">
        <v>42</v>
      </c>
    </row>
    <row r="666" spans="1:22" s="172" customFormat="1" ht="20.25" customHeight="1">
      <c r="A666" s="263" t="str">
        <f t="shared" si="292"/>
        <v/>
      </c>
      <c r="B666" s="263"/>
      <c r="C666" s="264">
        <f t="shared" si="302"/>
        <v>665</v>
      </c>
      <c r="D666" s="277" t="s">
        <v>1326</v>
      </c>
      <c r="E666" s="293">
        <f t="shared" ref="E666:E670" si="329">C665</f>
        <v>664</v>
      </c>
      <c r="F666" s="267" t="s">
        <v>55</v>
      </c>
      <c r="G666" s="267"/>
      <c r="H666" s="317">
        <f>H662</f>
        <v>145</v>
      </c>
      <c r="I666" s="317" t="str">
        <f>I662</f>
        <v xml:space="preserve"> </v>
      </c>
      <c r="J666" s="317">
        <f>J665</f>
        <v>1308</v>
      </c>
      <c r="K666" s="317" t="str">
        <f>K665</f>
        <v>holes</v>
      </c>
      <c r="L666" s="367" t="str">
        <f t="shared" ref="L666" si="330">J666&amp;" "&amp;K666</f>
        <v>1308 holes</v>
      </c>
      <c r="M666" s="304">
        <v>1</v>
      </c>
      <c r="N666" s="271" t="s">
        <v>81</v>
      </c>
      <c r="O666" s="297" t="str">
        <f>LEFT(L666,SEARCH(" ",L666,1)-1)</f>
        <v>1308</v>
      </c>
      <c r="P666" s="271" t="s">
        <v>81</v>
      </c>
      <c r="Q666" s="299">
        <f>1/60*5</f>
        <v>8.3333333333333329E-2</v>
      </c>
      <c r="R666" s="300" t="s">
        <v>47</v>
      </c>
      <c r="S666" s="290">
        <f>O666*Q666/24</f>
        <v>4.541666666666667</v>
      </c>
      <c r="T666" s="301"/>
      <c r="U666" s="290">
        <f t="shared" si="295"/>
        <v>4.54</v>
      </c>
      <c r="V666" s="276" t="s">
        <v>42</v>
      </c>
    </row>
    <row r="667" spans="1:22" s="172" customFormat="1" ht="20.25" customHeight="1">
      <c r="A667" s="263" t="str">
        <f t="shared" si="292"/>
        <v/>
      </c>
      <c r="B667" s="263"/>
      <c r="C667" s="264">
        <f t="shared" si="302"/>
        <v>666</v>
      </c>
      <c r="D667" s="277" t="s">
        <v>1327</v>
      </c>
      <c r="E667" s="293">
        <f t="shared" si="329"/>
        <v>665</v>
      </c>
      <c r="F667" s="267" t="s">
        <v>55</v>
      </c>
      <c r="G667" s="267"/>
      <c r="H667" s="317">
        <f>H662</f>
        <v>145</v>
      </c>
      <c r="I667" s="317" t="str">
        <f>I662</f>
        <v xml:space="preserve"> </v>
      </c>
      <c r="J667" s="269"/>
      <c r="K667" s="269"/>
      <c r="L667" s="269"/>
      <c r="M667" s="304">
        <v>1</v>
      </c>
      <c r="N667" s="296" t="s">
        <v>84</v>
      </c>
      <c r="O667" s="318">
        <v>1</v>
      </c>
      <c r="P667" s="271" t="s">
        <v>84</v>
      </c>
      <c r="Q667" s="306">
        <v>1</v>
      </c>
      <c r="R667" s="300" t="s">
        <v>41</v>
      </c>
      <c r="S667" s="290">
        <f>O667*Q667</f>
        <v>1</v>
      </c>
      <c r="T667" s="301"/>
      <c r="U667" s="290">
        <f t="shared" si="295"/>
        <v>1</v>
      </c>
      <c r="V667" s="276" t="s">
        <v>42</v>
      </c>
    </row>
    <row r="668" spans="1:22" s="172" customFormat="1" ht="20.25" customHeight="1">
      <c r="A668" s="263" t="str">
        <f t="shared" ref="A668:A731" si="331">IF(B668="Yes",C668,"")</f>
        <v/>
      </c>
      <c r="B668" s="263"/>
      <c r="C668" s="264">
        <f t="shared" si="302"/>
        <v>667</v>
      </c>
      <c r="D668" s="277" t="s">
        <v>1328</v>
      </c>
      <c r="E668" s="293">
        <f t="shared" si="329"/>
        <v>666</v>
      </c>
      <c r="F668" s="267" t="s">
        <v>55</v>
      </c>
      <c r="G668" s="267"/>
      <c r="H668" s="317">
        <f>H662</f>
        <v>145</v>
      </c>
      <c r="I668" s="317" t="str">
        <f>I662</f>
        <v xml:space="preserve"> </v>
      </c>
      <c r="J668" s="269"/>
      <c r="K668" s="269"/>
      <c r="L668" s="269"/>
      <c r="M668" s="304">
        <v>1</v>
      </c>
      <c r="N668" s="296" t="s">
        <v>84</v>
      </c>
      <c r="O668" s="272">
        <v>1</v>
      </c>
      <c r="P668" s="271" t="s">
        <v>84</v>
      </c>
      <c r="Q668" s="309">
        <v>4</v>
      </c>
      <c r="R668" s="300" t="s">
        <v>41</v>
      </c>
      <c r="S668" s="290">
        <f t="shared" ref="S668:S669" si="332">O668*Q668</f>
        <v>4</v>
      </c>
      <c r="T668" s="301"/>
      <c r="U668" s="290">
        <f t="shared" si="295"/>
        <v>4</v>
      </c>
      <c r="V668" s="276" t="s">
        <v>42</v>
      </c>
    </row>
    <row r="669" spans="1:22" s="172" customFormat="1" ht="20.25" customHeight="1">
      <c r="A669" s="263" t="str">
        <f t="shared" si="331"/>
        <v/>
      </c>
      <c r="B669" s="263"/>
      <c r="C669" s="264">
        <f t="shared" si="302"/>
        <v>668</v>
      </c>
      <c r="D669" s="277" t="s">
        <v>1329</v>
      </c>
      <c r="E669" s="293">
        <f t="shared" si="329"/>
        <v>667</v>
      </c>
      <c r="F669" s="267" t="s">
        <v>44</v>
      </c>
      <c r="G669" s="267"/>
      <c r="H669" s="317">
        <f>H662</f>
        <v>145</v>
      </c>
      <c r="I669" s="317" t="str">
        <f>I662</f>
        <v xml:space="preserve"> </v>
      </c>
      <c r="J669" s="317">
        <f>J666</f>
        <v>1308</v>
      </c>
      <c r="K669" s="317" t="str">
        <f>K666</f>
        <v>holes</v>
      </c>
      <c r="L669" s="367" t="str">
        <f t="shared" ref="L669" si="333">J669&amp;" "&amp;K669</f>
        <v>1308 holes</v>
      </c>
      <c r="M669" s="304">
        <v>1</v>
      </c>
      <c r="N669" s="271" t="s">
        <v>81</v>
      </c>
      <c r="O669" s="297" t="str">
        <f>LEFT(L669,SEARCH(" ",L669,1)-1)</f>
        <v>1308</v>
      </c>
      <c r="P669" s="271" t="s">
        <v>81</v>
      </c>
      <c r="Q669" s="299">
        <f>1/60*3</f>
        <v>0.05</v>
      </c>
      <c r="R669" s="300" t="s">
        <v>87</v>
      </c>
      <c r="S669" s="290">
        <f t="shared" si="332"/>
        <v>65.400000000000006</v>
      </c>
      <c r="T669" s="301"/>
      <c r="U669" s="290">
        <f t="shared" si="295"/>
        <v>65.400000000000006</v>
      </c>
      <c r="V669" s="302" t="s">
        <v>48</v>
      </c>
    </row>
    <row r="670" spans="1:22" s="172" customFormat="1" ht="20.25" customHeight="1">
      <c r="A670" s="263" t="str">
        <f t="shared" si="331"/>
        <v/>
      </c>
      <c r="B670" s="263"/>
      <c r="C670" s="264">
        <f t="shared" si="302"/>
        <v>669</v>
      </c>
      <c r="D670" s="277" t="s">
        <v>1330</v>
      </c>
      <c r="E670" s="293">
        <f t="shared" si="329"/>
        <v>668</v>
      </c>
      <c r="F670" s="267" t="s">
        <v>44</v>
      </c>
      <c r="G670" s="267"/>
      <c r="H670" s="268"/>
      <c r="I670" s="268"/>
      <c r="J670" s="269"/>
      <c r="K670" s="269"/>
      <c r="L670" s="269"/>
      <c r="M670" s="304"/>
      <c r="N670" s="271"/>
      <c r="O670" s="272"/>
      <c r="P670" s="271"/>
      <c r="Q670" s="309"/>
      <c r="R670" s="300"/>
      <c r="S670" s="307"/>
      <c r="T670" s="301"/>
      <c r="U670" s="307"/>
      <c r="V670" s="302"/>
    </row>
    <row r="671" spans="1:22" s="172" customFormat="1" ht="20.25" customHeight="1">
      <c r="A671" s="263">
        <f t="shared" si="331"/>
        <v>670</v>
      </c>
      <c r="B671" s="263" t="s">
        <v>1263</v>
      </c>
      <c r="C671" s="264">
        <f t="shared" si="302"/>
        <v>670</v>
      </c>
      <c r="D671" s="265" t="s">
        <v>1331</v>
      </c>
      <c r="E671" s="279">
        <f>C1275</f>
        <v>1264</v>
      </c>
      <c r="F671" s="267"/>
      <c r="G671" s="267"/>
      <c r="H671" s="268"/>
      <c r="I671" s="268"/>
      <c r="J671" s="269"/>
      <c r="K671" s="269"/>
      <c r="L671" s="269"/>
      <c r="M671" s="304"/>
      <c r="N671" s="271"/>
      <c r="O671" s="280"/>
      <c r="P671" s="271"/>
      <c r="Q671" s="311"/>
      <c r="R671" s="300"/>
      <c r="S671" s="312"/>
      <c r="T671" s="313"/>
      <c r="U671" s="312"/>
      <c r="V671" s="302"/>
    </row>
    <row r="672" spans="1:22" s="172" customFormat="1" ht="20.25" customHeight="1">
      <c r="A672" s="263" t="str">
        <f t="shared" si="331"/>
        <v/>
      </c>
      <c r="B672" s="263"/>
      <c r="C672" s="264">
        <f t="shared" si="302"/>
        <v>671</v>
      </c>
      <c r="D672" s="277" t="s">
        <v>1322</v>
      </c>
      <c r="E672" s="293"/>
      <c r="F672" s="267"/>
      <c r="G672" s="267"/>
      <c r="H672" s="316">
        <v>145</v>
      </c>
      <c r="I672" s="322" t="s">
        <v>1848</v>
      </c>
      <c r="J672" s="316">
        <v>1670</v>
      </c>
      <c r="K672" s="322" t="s">
        <v>1832</v>
      </c>
      <c r="L672" s="367" t="str">
        <f t="shared" ref="L672:L673" si="334">J672&amp;" "&amp;K672</f>
        <v>1670 od</v>
      </c>
      <c r="M672" s="304">
        <v>1</v>
      </c>
      <c r="N672" s="296" t="s">
        <v>81</v>
      </c>
      <c r="O672" s="272">
        <v>1</v>
      </c>
      <c r="P672" s="296" t="s">
        <v>81</v>
      </c>
      <c r="Q672" s="309">
        <v>2</v>
      </c>
      <c r="R672" s="300" t="s">
        <v>41</v>
      </c>
      <c r="S672" s="290">
        <f t="shared" ref="S672:S673" si="335">O672*Q672</f>
        <v>2</v>
      </c>
      <c r="T672" s="301"/>
      <c r="U672" s="290">
        <f t="shared" ref="U672:U733" si="336">ROUND(S672+T672,2)</f>
        <v>2</v>
      </c>
      <c r="V672" s="276" t="s">
        <v>42</v>
      </c>
    </row>
    <row r="673" spans="1:22" s="172" customFormat="1" ht="20.25" customHeight="1">
      <c r="A673" s="263" t="str">
        <f t="shared" si="331"/>
        <v/>
      </c>
      <c r="B673" s="263"/>
      <c r="C673" s="264">
        <f t="shared" si="302"/>
        <v>672</v>
      </c>
      <c r="D673" s="277" t="s">
        <v>1332</v>
      </c>
      <c r="E673" s="293">
        <f>C672</f>
        <v>671</v>
      </c>
      <c r="F673" s="267" t="s">
        <v>55</v>
      </c>
      <c r="G673" s="267"/>
      <c r="H673" s="308">
        <f>H672</f>
        <v>145</v>
      </c>
      <c r="I673" s="308" t="str">
        <f>I672</f>
        <v xml:space="preserve"> </v>
      </c>
      <c r="J673" s="316">
        <v>1548</v>
      </c>
      <c r="K673" s="322" t="s">
        <v>1832</v>
      </c>
      <c r="L673" s="367" t="str">
        <f t="shared" si="334"/>
        <v>1548 od</v>
      </c>
      <c r="M673" s="304">
        <v>1</v>
      </c>
      <c r="N673" s="296" t="s">
        <v>81</v>
      </c>
      <c r="O673" s="272">
        <v>1</v>
      </c>
      <c r="P673" s="296" t="s">
        <v>81</v>
      </c>
      <c r="Q673" s="309">
        <v>5</v>
      </c>
      <c r="R673" s="300" t="s">
        <v>41</v>
      </c>
      <c r="S673" s="290">
        <f t="shared" si="335"/>
        <v>5</v>
      </c>
      <c r="T673" s="301"/>
      <c r="U673" s="290">
        <f t="shared" si="336"/>
        <v>5</v>
      </c>
      <c r="V673" s="276" t="s">
        <v>42</v>
      </c>
    </row>
    <row r="674" spans="1:22" s="172" customFormat="1" ht="20.25" customHeight="1">
      <c r="A674" s="263">
        <f t="shared" si="331"/>
        <v>673</v>
      </c>
      <c r="B674" s="263" t="s">
        <v>1263</v>
      </c>
      <c r="C674" s="264">
        <f t="shared" si="302"/>
        <v>673</v>
      </c>
      <c r="D674" s="265" t="s">
        <v>1333</v>
      </c>
      <c r="E674" s="279"/>
      <c r="F674" s="267"/>
      <c r="G674" s="267"/>
      <c r="H674" s="268"/>
      <c r="I674" s="268"/>
      <c r="J674" s="269"/>
      <c r="K674" s="269"/>
      <c r="L674" s="269"/>
      <c r="M674" s="304"/>
      <c r="N674" s="271"/>
      <c r="O674" s="280"/>
      <c r="P674" s="271"/>
      <c r="Q674" s="311"/>
      <c r="R674" s="300"/>
      <c r="S674" s="312"/>
      <c r="T674" s="313"/>
      <c r="U674" s="312"/>
      <c r="V674" s="302"/>
    </row>
    <row r="675" spans="1:22" s="172" customFormat="1" ht="20.25" customHeight="1">
      <c r="A675" s="263" t="str">
        <f t="shared" si="331"/>
        <v/>
      </c>
      <c r="B675" s="263"/>
      <c r="C675" s="264">
        <f t="shared" si="302"/>
        <v>674</v>
      </c>
      <c r="D675" s="277" t="s">
        <v>1334</v>
      </c>
      <c r="E675" s="293"/>
      <c r="F675" s="267" t="s">
        <v>55</v>
      </c>
      <c r="G675" s="267"/>
      <c r="H675" s="317">
        <f>H672</f>
        <v>145</v>
      </c>
      <c r="I675" s="317" t="str">
        <f>I672</f>
        <v xml:space="preserve"> </v>
      </c>
      <c r="J675" s="317">
        <f>J665</f>
        <v>1308</v>
      </c>
      <c r="K675" s="317" t="str">
        <f>K665</f>
        <v>holes</v>
      </c>
      <c r="L675" s="367" t="str">
        <f t="shared" ref="L675" si="337">J675&amp;" "&amp;K675</f>
        <v>1308 holes</v>
      </c>
      <c r="M675" s="304">
        <v>1</v>
      </c>
      <c r="N675" s="296" t="s">
        <v>81</v>
      </c>
      <c r="O675" s="297" t="e">
        <f>LEFT(L675,SEARCH(" ",L675,1)-1)*LEFT(H675,SEARCH(" ",H675,1)-1)*M675/1000</f>
        <v>#VALUE!</v>
      </c>
      <c r="P675" s="271" t="s">
        <v>79</v>
      </c>
      <c r="Q675" s="299">
        <f>1/1.5^1</f>
        <v>0.66666666666666663</v>
      </c>
      <c r="R675" s="300" t="s">
        <v>47</v>
      </c>
      <c r="S675" s="290" t="e">
        <f>O675*Q675/24</f>
        <v>#VALUE!</v>
      </c>
      <c r="T675" s="301"/>
      <c r="U675" s="290" t="e">
        <f t="shared" si="336"/>
        <v>#VALUE!</v>
      </c>
      <c r="V675" s="276" t="s">
        <v>42</v>
      </c>
    </row>
    <row r="676" spans="1:22" s="172" customFormat="1" ht="20.25" customHeight="1">
      <c r="A676" s="263" t="str">
        <f t="shared" si="331"/>
        <v/>
      </c>
      <c r="B676" s="263"/>
      <c r="C676" s="264">
        <f t="shared" si="302"/>
        <v>675</v>
      </c>
      <c r="D676" s="277" t="s">
        <v>1335</v>
      </c>
      <c r="E676" s="293">
        <f>C675</f>
        <v>674</v>
      </c>
      <c r="F676" s="267" t="s">
        <v>55</v>
      </c>
      <c r="G676" s="267"/>
      <c r="H676" s="317">
        <f>H672</f>
        <v>145</v>
      </c>
      <c r="I676" s="317" t="str">
        <f>I672</f>
        <v xml:space="preserve"> </v>
      </c>
      <c r="J676" s="317">
        <f>J675</f>
        <v>1308</v>
      </c>
      <c r="K676" s="317" t="str">
        <f>K675</f>
        <v>holes</v>
      </c>
      <c r="L676" s="367" t="str">
        <f t="shared" ref="L676" si="338">J676&amp;" "&amp;K676</f>
        <v>1308 holes</v>
      </c>
      <c r="M676" s="304">
        <v>1</v>
      </c>
      <c r="N676" s="271" t="s">
        <v>81</v>
      </c>
      <c r="O676" s="297" t="str">
        <f>LEFT(L676,SEARCH(" ",L676,1)-1)</f>
        <v>1308</v>
      </c>
      <c r="P676" s="271" t="s">
        <v>81</v>
      </c>
      <c r="Q676" s="299">
        <f>1/60*5</f>
        <v>8.3333333333333329E-2</v>
      </c>
      <c r="R676" s="300" t="s">
        <v>47</v>
      </c>
      <c r="S676" s="290">
        <f>O676*Q676/24</f>
        <v>4.541666666666667</v>
      </c>
      <c r="T676" s="301"/>
      <c r="U676" s="290">
        <f t="shared" si="336"/>
        <v>4.54</v>
      </c>
      <c r="V676" s="276" t="s">
        <v>42</v>
      </c>
    </row>
    <row r="677" spans="1:22" s="172" customFormat="1" ht="20.25" customHeight="1">
      <c r="A677" s="263" t="str">
        <f t="shared" si="331"/>
        <v/>
      </c>
      <c r="B677" s="263"/>
      <c r="C677" s="264">
        <f t="shared" si="302"/>
        <v>676</v>
      </c>
      <c r="D677" s="277" t="s">
        <v>1336</v>
      </c>
      <c r="E677" s="293">
        <f>C676</f>
        <v>675</v>
      </c>
      <c r="F677" s="267" t="s">
        <v>55</v>
      </c>
      <c r="G677" s="267"/>
      <c r="H677" s="317">
        <f>H672</f>
        <v>145</v>
      </c>
      <c r="I677" s="317" t="str">
        <f>I672</f>
        <v xml:space="preserve"> </v>
      </c>
      <c r="J677" s="269"/>
      <c r="K677" s="269"/>
      <c r="L677" s="269"/>
      <c r="M677" s="304">
        <v>1</v>
      </c>
      <c r="N677" s="296" t="s">
        <v>84</v>
      </c>
      <c r="O677" s="318">
        <v>1</v>
      </c>
      <c r="P677" s="271" t="s">
        <v>84</v>
      </c>
      <c r="Q677" s="306">
        <v>1</v>
      </c>
      <c r="R677" s="300" t="s">
        <v>41</v>
      </c>
      <c r="S677" s="290">
        <f>O677*Q677</f>
        <v>1</v>
      </c>
      <c r="T677" s="301"/>
      <c r="U677" s="290">
        <f t="shared" si="336"/>
        <v>1</v>
      </c>
      <c r="V677" s="276" t="s">
        <v>42</v>
      </c>
    </row>
    <row r="678" spans="1:22" s="172" customFormat="1" ht="20.25" customHeight="1">
      <c r="A678" s="263" t="str">
        <f t="shared" si="331"/>
        <v/>
      </c>
      <c r="B678" s="263"/>
      <c r="C678" s="264">
        <f t="shared" si="302"/>
        <v>677</v>
      </c>
      <c r="D678" s="277" t="s">
        <v>1337</v>
      </c>
      <c r="E678" s="293">
        <f>C677</f>
        <v>676</v>
      </c>
      <c r="F678" s="267" t="s">
        <v>55</v>
      </c>
      <c r="G678" s="267"/>
      <c r="H678" s="317">
        <f>H672</f>
        <v>145</v>
      </c>
      <c r="I678" s="317" t="str">
        <f>I672</f>
        <v xml:space="preserve"> </v>
      </c>
      <c r="J678" s="269"/>
      <c r="K678" s="269"/>
      <c r="L678" s="269"/>
      <c r="M678" s="304">
        <v>1</v>
      </c>
      <c r="N678" s="296" t="s">
        <v>84</v>
      </c>
      <c r="O678" s="272">
        <v>1</v>
      </c>
      <c r="P678" s="271" t="s">
        <v>84</v>
      </c>
      <c r="Q678" s="309">
        <v>4</v>
      </c>
      <c r="R678" s="300" t="s">
        <v>41</v>
      </c>
      <c r="S678" s="290">
        <f t="shared" ref="S678:S680" si="339">O678*Q678</f>
        <v>4</v>
      </c>
      <c r="T678" s="301"/>
      <c r="U678" s="290">
        <f t="shared" si="336"/>
        <v>4</v>
      </c>
      <c r="V678" s="276" t="s">
        <v>42</v>
      </c>
    </row>
    <row r="679" spans="1:22" s="172" customFormat="1" ht="20.25" customHeight="1">
      <c r="A679" s="263" t="str">
        <f t="shared" si="331"/>
        <v/>
      </c>
      <c r="B679" s="263"/>
      <c r="C679" s="264">
        <f t="shared" si="302"/>
        <v>678</v>
      </c>
      <c r="D679" s="277" t="s">
        <v>1338</v>
      </c>
      <c r="E679" s="293">
        <f>C678</f>
        <v>677</v>
      </c>
      <c r="F679" s="267" t="s">
        <v>44</v>
      </c>
      <c r="G679" s="267"/>
      <c r="H679" s="317">
        <f>H672</f>
        <v>145</v>
      </c>
      <c r="I679" s="317" t="str">
        <f>I672</f>
        <v xml:space="preserve"> </v>
      </c>
      <c r="J679" s="317">
        <f>J676</f>
        <v>1308</v>
      </c>
      <c r="K679" s="317" t="str">
        <f>K676</f>
        <v>holes</v>
      </c>
      <c r="L679" s="367" t="str">
        <f t="shared" ref="L679" si="340">J679&amp;" "&amp;K679</f>
        <v>1308 holes</v>
      </c>
      <c r="M679" s="304">
        <v>1</v>
      </c>
      <c r="N679" s="271" t="s">
        <v>81</v>
      </c>
      <c r="O679" s="297" t="str">
        <f>LEFT(L679,SEARCH(" ",L679,1)-1)</f>
        <v>1308</v>
      </c>
      <c r="P679" s="271" t="s">
        <v>81</v>
      </c>
      <c r="Q679" s="299">
        <f>1/60*3</f>
        <v>0.05</v>
      </c>
      <c r="R679" s="300" t="s">
        <v>87</v>
      </c>
      <c r="S679" s="290">
        <f t="shared" si="339"/>
        <v>65.400000000000006</v>
      </c>
      <c r="T679" s="301"/>
      <c r="U679" s="290">
        <f t="shared" si="336"/>
        <v>65.400000000000006</v>
      </c>
      <c r="V679" s="302" t="s">
        <v>48</v>
      </c>
    </row>
    <row r="680" spans="1:22" s="172" customFormat="1" ht="20.25" customHeight="1">
      <c r="A680" s="263" t="str">
        <f t="shared" si="331"/>
        <v/>
      </c>
      <c r="B680" s="263"/>
      <c r="C680" s="264">
        <f t="shared" si="302"/>
        <v>679</v>
      </c>
      <c r="D680" s="277" t="s">
        <v>1339</v>
      </c>
      <c r="E680" s="293">
        <f>C679</f>
        <v>678</v>
      </c>
      <c r="F680" s="267" t="s">
        <v>44</v>
      </c>
      <c r="G680" s="267"/>
      <c r="H680" s="268"/>
      <c r="I680" s="268"/>
      <c r="J680" s="269"/>
      <c r="K680" s="269"/>
      <c r="L680" s="269"/>
      <c r="M680" s="304">
        <v>1</v>
      </c>
      <c r="N680" s="271"/>
      <c r="O680" s="305">
        <v>1050</v>
      </c>
      <c r="P680" s="271" t="s">
        <v>81</v>
      </c>
      <c r="Q680" s="299">
        <f>1/60*3</f>
        <v>0.05</v>
      </c>
      <c r="R680" s="300" t="s">
        <v>53</v>
      </c>
      <c r="S680" s="290">
        <f t="shared" si="339"/>
        <v>52.5</v>
      </c>
      <c r="T680" s="301">
        <v>1</v>
      </c>
      <c r="U680" s="290">
        <f t="shared" si="336"/>
        <v>53.5</v>
      </c>
      <c r="V680" s="302" t="s">
        <v>48</v>
      </c>
    </row>
    <row r="681" spans="1:22" s="172" customFormat="1" ht="20.25" customHeight="1">
      <c r="A681" s="263">
        <f t="shared" si="331"/>
        <v>680</v>
      </c>
      <c r="B681" s="263" t="s">
        <v>1263</v>
      </c>
      <c r="C681" s="264">
        <f t="shared" si="302"/>
        <v>680</v>
      </c>
      <c r="D681" s="265" t="s">
        <v>1340</v>
      </c>
      <c r="E681" s="279"/>
      <c r="F681" s="278"/>
      <c r="G681" s="278"/>
      <c r="H681" s="268"/>
      <c r="I681" s="268"/>
      <c r="J681" s="269"/>
      <c r="K681" s="269"/>
      <c r="L681" s="269"/>
      <c r="M681" s="319"/>
      <c r="N681" s="271"/>
      <c r="O681" s="280"/>
      <c r="P681" s="271"/>
      <c r="Q681" s="281"/>
      <c r="R681" s="271"/>
      <c r="S681" s="312"/>
      <c r="T681" s="282"/>
      <c r="U681" s="312"/>
      <c r="V681" s="276"/>
    </row>
    <row r="682" spans="1:22" s="172" customFormat="1" ht="20.25" customHeight="1">
      <c r="A682" s="263">
        <f t="shared" si="331"/>
        <v>681</v>
      </c>
      <c r="B682" s="263" t="s">
        <v>1263</v>
      </c>
      <c r="C682" s="264">
        <f t="shared" si="302"/>
        <v>681</v>
      </c>
      <c r="D682" s="265" t="s">
        <v>1341</v>
      </c>
      <c r="E682" s="279">
        <f>C1100</f>
        <v>1099</v>
      </c>
      <c r="F682" s="267"/>
      <c r="G682" s="267"/>
      <c r="H682" s="268"/>
      <c r="I682" s="268"/>
      <c r="J682" s="269"/>
      <c r="K682" s="269"/>
      <c r="L682" s="269"/>
      <c r="M682" s="319"/>
      <c r="N682" s="271"/>
      <c r="O682" s="280"/>
      <c r="P682" s="271"/>
      <c r="Q682" s="281"/>
      <c r="R682" s="271"/>
      <c r="S682" s="312"/>
      <c r="T682" s="282"/>
      <c r="U682" s="312"/>
      <c r="V682" s="276"/>
    </row>
    <row r="683" spans="1:22" s="172" customFormat="1" ht="20.25" customHeight="1">
      <c r="A683" s="263" t="str">
        <f t="shared" si="331"/>
        <v/>
      </c>
      <c r="B683" s="263"/>
      <c r="C683" s="264">
        <f t="shared" si="302"/>
        <v>682</v>
      </c>
      <c r="D683" s="320" t="s">
        <v>1342</v>
      </c>
      <c r="E683" s="293"/>
      <c r="F683" s="267" t="s">
        <v>44</v>
      </c>
      <c r="G683" s="267"/>
      <c r="H683" s="316">
        <v>26</v>
      </c>
      <c r="I683" s="322" t="s">
        <v>1846</v>
      </c>
      <c r="J683" s="269"/>
      <c r="K683" s="269"/>
      <c r="L683" s="269"/>
      <c r="M683" s="319">
        <v>2</v>
      </c>
      <c r="N683" s="271" t="s">
        <v>81</v>
      </c>
      <c r="O683" s="321">
        <f>M683</f>
        <v>2</v>
      </c>
      <c r="P683" s="271" t="s">
        <v>81</v>
      </c>
      <c r="Q683" s="273">
        <v>1</v>
      </c>
      <c r="R683" s="300" t="s">
        <v>87</v>
      </c>
      <c r="S683" s="290">
        <f t="shared" ref="S683:S685" si="341">O683*Q683</f>
        <v>2</v>
      </c>
      <c r="T683" s="275">
        <v>1</v>
      </c>
      <c r="U683" s="290">
        <f t="shared" si="336"/>
        <v>3</v>
      </c>
      <c r="V683" s="302" t="s">
        <v>48</v>
      </c>
    </row>
    <row r="684" spans="1:22" s="172" customFormat="1" ht="20.25" customHeight="1">
      <c r="A684" s="263" t="str">
        <f t="shared" si="331"/>
        <v/>
      </c>
      <c r="B684" s="263"/>
      <c r="C684" s="264">
        <f t="shared" si="302"/>
        <v>683</v>
      </c>
      <c r="D684" s="320" t="s">
        <v>1343</v>
      </c>
      <c r="E684" s="293">
        <f>C683</f>
        <v>682</v>
      </c>
      <c r="F684" s="267" t="s">
        <v>44</v>
      </c>
      <c r="G684" s="267"/>
      <c r="H684" s="316">
        <v>2</v>
      </c>
      <c r="I684" s="322" t="s">
        <v>1846</v>
      </c>
      <c r="J684" s="269"/>
      <c r="K684" s="269"/>
      <c r="L684" s="269"/>
      <c r="M684" s="319">
        <v>2</v>
      </c>
      <c r="N684" s="271" t="s">
        <v>81</v>
      </c>
      <c r="O684" s="321">
        <f>M684</f>
        <v>2</v>
      </c>
      <c r="P684" s="271" t="s">
        <v>81</v>
      </c>
      <c r="Q684" s="273">
        <v>1</v>
      </c>
      <c r="R684" s="300" t="s">
        <v>87</v>
      </c>
      <c r="S684" s="290">
        <f t="shared" si="341"/>
        <v>2</v>
      </c>
      <c r="T684" s="275">
        <v>1</v>
      </c>
      <c r="U684" s="290">
        <f t="shared" si="336"/>
        <v>3</v>
      </c>
      <c r="V684" s="302" t="s">
        <v>48</v>
      </c>
    </row>
    <row r="685" spans="1:22" s="172" customFormat="1" ht="20.25" customHeight="1">
      <c r="A685" s="263" t="str">
        <f t="shared" si="331"/>
        <v/>
      </c>
      <c r="B685" s="263"/>
      <c r="C685" s="264">
        <f t="shared" si="302"/>
        <v>684</v>
      </c>
      <c r="D685" s="320" t="s">
        <v>1344</v>
      </c>
      <c r="E685" s="293">
        <f>C684</f>
        <v>683</v>
      </c>
      <c r="F685" s="267" t="s">
        <v>44</v>
      </c>
      <c r="G685" s="267"/>
      <c r="H685" s="268"/>
      <c r="I685" s="268"/>
      <c r="J685" s="269"/>
      <c r="K685" s="269"/>
      <c r="L685" s="269"/>
      <c r="M685" s="319">
        <f>M684+M683</f>
        <v>4</v>
      </c>
      <c r="N685" s="271" t="s">
        <v>81</v>
      </c>
      <c r="O685" s="321">
        <f>M685</f>
        <v>4</v>
      </c>
      <c r="P685" s="271" t="s">
        <v>81</v>
      </c>
      <c r="Q685" s="273">
        <v>0.5</v>
      </c>
      <c r="R685" s="300" t="s">
        <v>87</v>
      </c>
      <c r="S685" s="290">
        <f t="shared" si="341"/>
        <v>2</v>
      </c>
      <c r="T685" s="275">
        <v>1</v>
      </c>
      <c r="U685" s="290">
        <f t="shared" si="336"/>
        <v>3</v>
      </c>
      <c r="V685" s="302" t="s">
        <v>48</v>
      </c>
    </row>
    <row r="686" spans="1:22" s="172" customFormat="1" ht="20.25" customHeight="1">
      <c r="A686" s="263">
        <f t="shared" si="331"/>
        <v>685</v>
      </c>
      <c r="B686" s="263" t="s">
        <v>1263</v>
      </c>
      <c r="C686" s="264">
        <f t="shared" si="302"/>
        <v>685</v>
      </c>
      <c r="D686" s="265" t="s">
        <v>1345</v>
      </c>
      <c r="E686" s="279">
        <f>C682</f>
        <v>681</v>
      </c>
      <c r="F686" s="267"/>
      <c r="G686" s="267"/>
      <c r="H686" s="268"/>
      <c r="I686" s="268"/>
      <c r="J686" s="269"/>
      <c r="K686" s="269"/>
      <c r="L686" s="269"/>
      <c r="M686" s="319"/>
      <c r="N686" s="271"/>
      <c r="O686" s="280"/>
      <c r="P686" s="271"/>
      <c r="Q686" s="281"/>
      <c r="R686" s="271"/>
      <c r="S686" s="312"/>
      <c r="T686" s="282"/>
      <c r="U686" s="312"/>
      <c r="V686" s="276"/>
    </row>
    <row r="687" spans="1:22" s="172" customFormat="1" ht="20.25" customHeight="1">
      <c r="A687" s="263" t="str">
        <f t="shared" si="331"/>
        <v/>
      </c>
      <c r="B687" s="263"/>
      <c r="C687" s="264">
        <f t="shared" si="302"/>
        <v>686</v>
      </c>
      <c r="D687" s="323" t="s">
        <v>1342</v>
      </c>
      <c r="E687" s="293"/>
      <c r="F687" s="267" t="s">
        <v>52</v>
      </c>
      <c r="G687" s="267"/>
      <c r="H687" s="317">
        <f>H683</f>
        <v>26</v>
      </c>
      <c r="I687" s="317" t="str">
        <f>I683</f>
        <v>nb</v>
      </c>
      <c r="J687" s="269"/>
      <c r="K687" s="269"/>
      <c r="L687" s="269"/>
      <c r="M687" s="319">
        <f>M683</f>
        <v>2</v>
      </c>
      <c r="N687" s="271" t="s">
        <v>81</v>
      </c>
      <c r="O687" s="321">
        <f>M687</f>
        <v>2</v>
      </c>
      <c r="P687" s="271" t="s">
        <v>81</v>
      </c>
      <c r="Q687" s="273">
        <v>0</v>
      </c>
      <c r="R687" s="300" t="s">
        <v>87</v>
      </c>
      <c r="S687" s="290">
        <f t="shared" ref="S687:S689" si="342">O687*Q687</f>
        <v>0</v>
      </c>
      <c r="T687" s="275">
        <v>0</v>
      </c>
      <c r="U687" s="307"/>
      <c r="V687" s="302" t="s">
        <v>48</v>
      </c>
    </row>
    <row r="688" spans="1:22" s="172" customFormat="1" ht="20.25" customHeight="1">
      <c r="A688" s="263" t="str">
        <f t="shared" si="331"/>
        <v/>
      </c>
      <c r="B688" s="263"/>
      <c r="C688" s="264">
        <f t="shared" si="302"/>
        <v>687</v>
      </c>
      <c r="D688" s="323" t="s">
        <v>1343</v>
      </c>
      <c r="E688" s="293">
        <f>C687</f>
        <v>686</v>
      </c>
      <c r="F688" s="267" t="s">
        <v>52</v>
      </c>
      <c r="G688" s="267"/>
      <c r="H688" s="317">
        <f>H684</f>
        <v>2</v>
      </c>
      <c r="I688" s="317" t="str">
        <f>I684</f>
        <v>nb</v>
      </c>
      <c r="J688" s="269"/>
      <c r="K688" s="269"/>
      <c r="L688" s="269"/>
      <c r="M688" s="319">
        <f>M684</f>
        <v>2</v>
      </c>
      <c r="N688" s="271" t="s">
        <v>81</v>
      </c>
      <c r="O688" s="321">
        <f>M688</f>
        <v>2</v>
      </c>
      <c r="P688" s="271" t="s">
        <v>81</v>
      </c>
      <c r="Q688" s="273">
        <v>0</v>
      </c>
      <c r="R688" s="300" t="s">
        <v>87</v>
      </c>
      <c r="S688" s="290">
        <f t="shared" si="342"/>
        <v>0</v>
      </c>
      <c r="T688" s="275">
        <v>0</v>
      </c>
      <c r="U688" s="307"/>
      <c r="V688" s="302" t="s">
        <v>48</v>
      </c>
    </row>
    <row r="689" spans="1:22" s="172" customFormat="1" ht="20.25" customHeight="1">
      <c r="A689" s="263" t="str">
        <f t="shared" si="331"/>
        <v/>
      </c>
      <c r="B689" s="263"/>
      <c r="C689" s="264">
        <f t="shared" si="302"/>
        <v>688</v>
      </c>
      <c r="D689" s="323" t="s">
        <v>1344</v>
      </c>
      <c r="E689" s="293">
        <f>C688</f>
        <v>687</v>
      </c>
      <c r="F689" s="267" t="s">
        <v>52</v>
      </c>
      <c r="G689" s="267"/>
      <c r="H689" s="268"/>
      <c r="I689" s="268"/>
      <c r="J689" s="269"/>
      <c r="K689" s="269"/>
      <c r="L689" s="269"/>
      <c r="M689" s="319">
        <f>M688+M687</f>
        <v>4</v>
      </c>
      <c r="N689" s="271" t="s">
        <v>81</v>
      </c>
      <c r="O689" s="321">
        <f>M689</f>
        <v>4</v>
      </c>
      <c r="P689" s="271" t="s">
        <v>81</v>
      </c>
      <c r="Q689" s="273">
        <v>0</v>
      </c>
      <c r="R689" s="300" t="s">
        <v>87</v>
      </c>
      <c r="S689" s="290">
        <f t="shared" si="342"/>
        <v>0</v>
      </c>
      <c r="T689" s="275">
        <v>0</v>
      </c>
      <c r="U689" s="307"/>
      <c r="V689" s="302" t="s">
        <v>48</v>
      </c>
    </row>
    <row r="690" spans="1:22" s="172" customFormat="1" ht="20.25" customHeight="1">
      <c r="A690" s="263">
        <f t="shared" si="331"/>
        <v>689</v>
      </c>
      <c r="B690" s="263" t="s">
        <v>1263</v>
      </c>
      <c r="C690" s="264">
        <f t="shared" si="302"/>
        <v>689</v>
      </c>
      <c r="D690" s="265" t="s">
        <v>1346</v>
      </c>
      <c r="E690" s="279">
        <f>C686</f>
        <v>685</v>
      </c>
      <c r="F690" s="267"/>
      <c r="G690" s="267"/>
      <c r="H690" s="268"/>
      <c r="I690" s="268"/>
      <c r="J690" s="269"/>
      <c r="K690" s="269"/>
      <c r="L690" s="269"/>
      <c r="M690" s="319"/>
      <c r="N690" s="271"/>
      <c r="O690" s="280"/>
      <c r="P690" s="271"/>
      <c r="Q690" s="281"/>
      <c r="R690" s="271"/>
      <c r="S690" s="312"/>
      <c r="T690" s="282"/>
      <c r="U690" s="312"/>
      <c r="V690" s="276"/>
    </row>
    <row r="691" spans="1:22" s="172" customFormat="1" ht="20.25" customHeight="1">
      <c r="A691" s="263" t="str">
        <f t="shared" si="331"/>
        <v/>
      </c>
      <c r="B691" s="263"/>
      <c r="C691" s="264">
        <f t="shared" si="302"/>
        <v>690</v>
      </c>
      <c r="D691" s="320" t="s">
        <v>1342</v>
      </c>
      <c r="E691" s="293"/>
      <c r="F691" s="267" t="s">
        <v>52</v>
      </c>
      <c r="G691" s="267"/>
      <c r="H691" s="317">
        <f>H683</f>
        <v>26</v>
      </c>
      <c r="I691" s="317" t="str">
        <f>I683</f>
        <v>nb</v>
      </c>
      <c r="J691" s="269"/>
      <c r="K691" s="269"/>
      <c r="L691" s="269"/>
      <c r="M691" s="319">
        <f>M683</f>
        <v>2</v>
      </c>
      <c r="N691" s="271" t="s">
        <v>81</v>
      </c>
      <c r="O691" s="272">
        <v>2</v>
      </c>
      <c r="P691" s="271" t="s">
        <v>81</v>
      </c>
      <c r="Q691" s="273">
        <v>4</v>
      </c>
      <c r="R691" s="271"/>
      <c r="S691" s="290">
        <f t="shared" ref="S691:S693" si="343">O691*Q691</f>
        <v>8</v>
      </c>
      <c r="T691" s="275">
        <v>0</v>
      </c>
      <c r="U691" s="290">
        <f t="shared" si="336"/>
        <v>8</v>
      </c>
      <c r="V691" s="302" t="s">
        <v>48</v>
      </c>
    </row>
    <row r="692" spans="1:22" s="172" customFormat="1" ht="20.25" customHeight="1">
      <c r="A692" s="263" t="str">
        <f t="shared" si="331"/>
        <v/>
      </c>
      <c r="B692" s="263"/>
      <c r="C692" s="264">
        <f t="shared" si="302"/>
        <v>691</v>
      </c>
      <c r="D692" s="320" t="s">
        <v>1343</v>
      </c>
      <c r="E692" s="293">
        <f>C691</f>
        <v>690</v>
      </c>
      <c r="F692" s="267" t="s">
        <v>52</v>
      </c>
      <c r="G692" s="267"/>
      <c r="H692" s="317">
        <f>H684</f>
        <v>2</v>
      </c>
      <c r="I692" s="317" t="str">
        <f>I684</f>
        <v>nb</v>
      </c>
      <c r="J692" s="269"/>
      <c r="K692" s="269"/>
      <c r="L692" s="269"/>
      <c r="M692" s="319">
        <f>M684</f>
        <v>2</v>
      </c>
      <c r="N692" s="271" t="s">
        <v>81</v>
      </c>
      <c r="O692" s="272">
        <v>2</v>
      </c>
      <c r="P692" s="271" t="s">
        <v>81</v>
      </c>
      <c r="Q692" s="273">
        <v>0</v>
      </c>
      <c r="R692" s="271"/>
      <c r="S692" s="290">
        <f t="shared" si="343"/>
        <v>0</v>
      </c>
      <c r="T692" s="275">
        <v>0</v>
      </c>
      <c r="U692" s="307"/>
      <c r="V692" s="302" t="s">
        <v>48</v>
      </c>
    </row>
    <row r="693" spans="1:22" s="172" customFormat="1" ht="20.25" customHeight="1">
      <c r="A693" s="263" t="str">
        <f t="shared" si="331"/>
        <v/>
      </c>
      <c r="B693" s="263"/>
      <c r="C693" s="264">
        <f t="shared" si="302"/>
        <v>692</v>
      </c>
      <c r="D693" s="320" t="s">
        <v>1315</v>
      </c>
      <c r="E693" s="293">
        <f>C692</f>
        <v>691</v>
      </c>
      <c r="F693" s="267" t="s">
        <v>52</v>
      </c>
      <c r="G693" s="267"/>
      <c r="H693" s="268"/>
      <c r="I693" s="268"/>
      <c r="J693" s="269"/>
      <c r="K693" s="269"/>
      <c r="L693" s="269"/>
      <c r="M693" s="319">
        <f>M692+M691</f>
        <v>4</v>
      </c>
      <c r="N693" s="271" t="s">
        <v>81</v>
      </c>
      <c r="O693" s="272">
        <v>4</v>
      </c>
      <c r="P693" s="271" t="s">
        <v>81</v>
      </c>
      <c r="Q693" s="273">
        <v>0</v>
      </c>
      <c r="R693" s="271"/>
      <c r="S693" s="290">
        <f t="shared" si="343"/>
        <v>0</v>
      </c>
      <c r="T693" s="275">
        <v>0</v>
      </c>
      <c r="U693" s="307"/>
      <c r="V693" s="302" t="s">
        <v>48</v>
      </c>
    </row>
    <row r="694" spans="1:22" s="172" customFormat="1" ht="20.25" customHeight="1">
      <c r="A694" s="263">
        <f t="shared" si="331"/>
        <v>693</v>
      </c>
      <c r="B694" s="263" t="s">
        <v>1263</v>
      </c>
      <c r="C694" s="264">
        <f t="shared" si="302"/>
        <v>693</v>
      </c>
      <c r="D694" s="265" t="s">
        <v>1347</v>
      </c>
      <c r="E694" s="279">
        <f>C690</f>
        <v>689</v>
      </c>
      <c r="F694" s="267"/>
      <c r="G694" s="267"/>
      <c r="H694" s="268"/>
      <c r="I694" s="268"/>
      <c r="J694" s="269"/>
      <c r="K694" s="269"/>
      <c r="L694" s="269"/>
      <c r="M694" s="319"/>
      <c r="N694" s="271"/>
      <c r="O694" s="280"/>
      <c r="P694" s="271"/>
      <c r="Q694" s="281"/>
      <c r="R694" s="271"/>
      <c r="S694" s="312"/>
      <c r="T694" s="282"/>
      <c r="U694" s="312"/>
      <c r="V694" s="276"/>
    </row>
    <row r="695" spans="1:22" s="172" customFormat="1" ht="20.25" customHeight="1">
      <c r="A695" s="263" t="str">
        <f t="shared" si="331"/>
        <v/>
      </c>
      <c r="B695" s="263"/>
      <c r="C695" s="264">
        <f t="shared" si="302"/>
        <v>694</v>
      </c>
      <c r="D695" s="323" t="s">
        <v>1342</v>
      </c>
      <c r="E695" s="293"/>
      <c r="F695" s="267" t="s">
        <v>111</v>
      </c>
      <c r="G695" s="267"/>
      <c r="H695" s="317">
        <f>H683</f>
        <v>26</v>
      </c>
      <c r="I695" s="317" t="str">
        <f>I683</f>
        <v>nb</v>
      </c>
      <c r="J695" s="269"/>
      <c r="K695" s="269"/>
      <c r="L695" s="269"/>
      <c r="M695" s="319">
        <v>2</v>
      </c>
      <c r="N695" s="296" t="s">
        <v>81</v>
      </c>
      <c r="O695" s="272">
        <v>2</v>
      </c>
      <c r="P695" s="296" t="s">
        <v>81</v>
      </c>
      <c r="Q695" s="273">
        <v>4</v>
      </c>
      <c r="R695" s="271" t="s">
        <v>112</v>
      </c>
      <c r="S695" s="290">
        <f t="shared" ref="S695:S697" si="344">O695*Q695</f>
        <v>8</v>
      </c>
      <c r="T695" s="275">
        <v>1</v>
      </c>
      <c r="U695" s="290">
        <f t="shared" si="336"/>
        <v>9</v>
      </c>
      <c r="V695" s="302" t="s">
        <v>48</v>
      </c>
    </row>
    <row r="696" spans="1:22" s="172" customFormat="1" ht="20.25" customHeight="1">
      <c r="A696" s="263" t="str">
        <f t="shared" si="331"/>
        <v/>
      </c>
      <c r="B696" s="263"/>
      <c r="C696" s="264">
        <f t="shared" si="302"/>
        <v>695</v>
      </c>
      <c r="D696" s="323" t="s">
        <v>1343</v>
      </c>
      <c r="E696" s="293">
        <f>C695</f>
        <v>694</v>
      </c>
      <c r="F696" s="267" t="s">
        <v>111</v>
      </c>
      <c r="G696" s="267"/>
      <c r="H696" s="317">
        <f>H684</f>
        <v>2</v>
      </c>
      <c r="I696" s="317" t="str">
        <f>I684</f>
        <v>nb</v>
      </c>
      <c r="J696" s="269"/>
      <c r="K696" s="269"/>
      <c r="L696" s="269"/>
      <c r="M696" s="319">
        <v>2</v>
      </c>
      <c r="N696" s="296" t="s">
        <v>81</v>
      </c>
      <c r="O696" s="272">
        <v>2</v>
      </c>
      <c r="P696" s="296" t="s">
        <v>81</v>
      </c>
      <c r="Q696" s="273">
        <v>0</v>
      </c>
      <c r="R696" s="271" t="s">
        <v>112</v>
      </c>
      <c r="S696" s="290">
        <f t="shared" si="344"/>
        <v>0</v>
      </c>
      <c r="T696" s="275">
        <v>1</v>
      </c>
      <c r="U696" s="290">
        <f t="shared" si="336"/>
        <v>1</v>
      </c>
      <c r="V696" s="302" t="s">
        <v>48</v>
      </c>
    </row>
    <row r="697" spans="1:22" s="172" customFormat="1" ht="20.25" customHeight="1">
      <c r="A697" s="263" t="str">
        <f t="shared" si="331"/>
        <v/>
      </c>
      <c r="B697" s="263"/>
      <c r="C697" s="264">
        <f t="shared" si="302"/>
        <v>696</v>
      </c>
      <c r="D697" s="323" t="s">
        <v>1315</v>
      </c>
      <c r="E697" s="293">
        <f>C696</f>
        <v>695</v>
      </c>
      <c r="F697" s="267" t="s">
        <v>111</v>
      </c>
      <c r="G697" s="267"/>
      <c r="H697" s="268"/>
      <c r="I697" s="268"/>
      <c r="J697" s="269"/>
      <c r="K697" s="269"/>
      <c r="L697" s="269"/>
      <c r="M697" s="319">
        <v>4</v>
      </c>
      <c r="N697" s="296" t="s">
        <v>81</v>
      </c>
      <c r="O697" s="272">
        <v>4</v>
      </c>
      <c r="P697" s="296" t="s">
        <v>81</v>
      </c>
      <c r="Q697" s="273">
        <v>0.25</v>
      </c>
      <c r="R697" s="271" t="s">
        <v>112</v>
      </c>
      <c r="S697" s="290">
        <f t="shared" si="344"/>
        <v>1</v>
      </c>
      <c r="T697" s="275">
        <v>1</v>
      </c>
      <c r="U697" s="290">
        <f t="shared" si="336"/>
        <v>2</v>
      </c>
      <c r="V697" s="302" t="s">
        <v>48</v>
      </c>
    </row>
    <row r="698" spans="1:22" s="172" customFormat="1" ht="20.25" customHeight="1">
      <c r="A698" s="263">
        <f t="shared" si="331"/>
        <v>697</v>
      </c>
      <c r="B698" s="263" t="s">
        <v>1263</v>
      </c>
      <c r="C698" s="264">
        <f t="shared" si="302"/>
        <v>697</v>
      </c>
      <c r="D698" s="265" t="s">
        <v>1348</v>
      </c>
      <c r="E698" s="279">
        <f>C694</f>
        <v>693</v>
      </c>
      <c r="F698" s="267"/>
      <c r="G698" s="267"/>
      <c r="H698" s="268"/>
      <c r="I698" s="268"/>
      <c r="J698" s="269"/>
      <c r="K698" s="269"/>
      <c r="L698" s="269"/>
      <c r="M698" s="319"/>
      <c r="N698" s="271"/>
      <c r="O698" s="280"/>
      <c r="P698" s="271"/>
      <c r="Q698" s="281"/>
      <c r="R698" s="271"/>
      <c r="S698" s="312"/>
      <c r="T698" s="282"/>
      <c r="U698" s="312"/>
      <c r="V698" s="276"/>
    </row>
    <row r="699" spans="1:22" s="172" customFormat="1" ht="20.25" customHeight="1">
      <c r="A699" s="263" t="str">
        <f t="shared" si="331"/>
        <v/>
      </c>
      <c r="B699" s="263"/>
      <c r="C699" s="264">
        <f t="shared" si="302"/>
        <v>698</v>
      </c>
      <c r="D699" s="320" t="s">
        <v>1342</v>
      </c>
      <c r="E699" s="293"/>
      <c r="F699" s="267" t="s">
        <v>115</v>
      </c>
      <c r="G699" s="267"/>
      <c r="H699" s="316">
        <v>18</v>
      </c>
      <c r="I699" s="316"/>
      <c r="J699" s="316">
        <v>3054</v>
      </c>
      <c r="K699" s="322" t="s">
        <v>1831</v>
      </c>
      <c r="L699" s="367" t="str">
        <f t="shared" ref="L699:L700" si="345">J699&amp;" "&amp;K699</f>
        <v>3054 mm</v>
      </c>
      <c r="M699" s="319">
        <v>2</v>
      </c>
      <c r="N699" s="296" t="s">
        <v>81</v>
      </c>
      <c r="O699" s="297">
        <f>LEFT(L699,SEARCH(" ",L699,1)-1)*M699*0.001</f>
        <v>6.1080000000000005</v>
      </c>
      <c r="P699" s="296" t="s">
        <v>81</v>
      </c>
      <c r="Q699" s="324">
        <f>6.12</f>
        <v>6.12</v>
      </c>
      <c r="R699" s="271" t="s">
        <v>112</v>
      </c>
      <c r="S699" s="290">
        <f>O699*Q699</f>
        <v>37.380960000000002</v>
      </c>
      <c r="T699" s="275">
        <v>1</v>
      </c>
      <c r="U699" s="290">
        <f t="shared" si="336"/>
        <v>38.380000000000003</v>
      </c>
      <c r="V699" s="302" t="s">
        <v>48</v>
      </c>
    </row>
    <row r="700" spans="1:22" s="172" customFormat="1" ht="20.25" customHeight="1">
      <c r="A700" s="263" t="str">
        <f t="shared" si="331"/>
        <v/>
      </c>
      <c r="B700" s="263"/>
      <c r="C700" s="264">
        <f t="shared" si="302"/>
        <v>699</v>
      </c>
      <c r="D700" s="320" t="s">
        <v>1343</v>
      </c>
      <c r="E700" s="293">
        <f>C699</f>
        <v>698</v>
      </c>
      <c r="F700" s="267" t="s">
        <v>115</v>
      </c>
      <c r="G700" s="267"/>
      <c r="H700" s="317">
        <f>H688</f>
        <v>2</v>
      </c>
      <c r="I700" s="317" t="str">
        <f>I688</f>
        <v>nb</v>
      </c>
      <c r="J700" s="322">
        <v>272</v>
      </c>
      <c r="K700" s="322" t="s">
        <v>1831</v>
      </c>
      <c r="L700" s="367" t="str">
        <f t="shared" si="345"/>
        <v>272 mm</v>
      </c>
      <c r="M700" s="319">
        <v>2</v>
      </c>
      <c r="N700" s="296" t="s">
        <v>81</v>
      </c>
      <c r="O700" s="272">
        <v>0</v>
      </c>
      <c r="P700" s="296" t="s">
        <v>81</v>
      </c>
      <c r="Q700" s="325"/>
      <c r="R700" s="271" t="s">
        <v>112</v>
      </c>
      <c r="S700" s="290">
        <f t="shared" ref="S700:S701" si="346">O700*Q700</f>
        <v>0</v>
      </c>
      <c r="T700" s="275"/>
      <c r="U700" s="307"/>
      <c r="V700" s="302" t="s">
        <v>48</v>
      </c>
    </row>
    <row r="701" spans="1:22" s="172" customFormat="1" ht="20.25" customHeight="1">
      <c r="A701" s="263" t="str">
        <f t="shared" si="331"/>
        <v/>
      </c>
      <c r="B701" s="263"/>
      <c r="C701" s="264">
        <f t="shared" si="302"/>
        <v>700</v>
      </c>
      <c r="D701" s="320" t="s">
        <v>1315</v>
      </c>
      <c r="E701" s="293">
        <f>C700</f>
        <v>699</v>
      </c>
      <c r="F701" s="267" t="s">
        <v>115</v>
      </c>
      <c r="G701" s="267"/>
      <c r="H701" s="268"/>
      <c r="I701" s="268"/>
      <c r="J701" s="269"/>
      <c r="K701" s="269"/>
      <c r="L701" s="269"/>
      <c r="M701" s="319">
        <v>4</v>
      </c>
      <c r="N701" s="296" t="s">
        <v>81</v>
      </c>
      <c r="O701" s="272">
        <v>4</v>
      </c>
      <c r="P701" s="296" t="s">
        <v>81</v>
      </c>
      <c r="Q701" s="273">
        <v>0.25</v>
      </c>
      <c r="R701" s="271" t="s">
        <v>112</v>
      </c>
      <c r="S701" s="290">
        <f t="shared" si="346"/>
        <v>1</v>
      </c>
      <c r="T701" s="275">
        <v>1</v>
      </c>
      <c r="U701" s="290">
        <f t="shared" si="336"/>
        <v>2</v>
      </c>
      <c r="V701" s="302" t="s">
        <v>48</v>
      </c>
    </row>
    <row r="702" spans="1:22" s="172" customFormat="1" ht="20.25" customHeight="1">
      <c r="A702" s="263">
        <f t="shared" si="331"/>
        <v>701</v>
      </c>
      <c r="B702" s="263" t="s">
        <v>1263</v>
      </c>
      <c r="C702" s="264">
        <f t="shared" si="302"/>
        <v>701</v>
      </c>
      <c r="D702" s="265" t="s">
        <v>1349</v>
      </c>
      <c r="E702" s="279">
        <f>C698</f>
        <v>697</v>
      </c>
      <c r="F702" s="267"/>
      <c r="G702" s="267"/>
      <c r="H702" s="268"/>
      <c r="I702" s="268"/>
      <c r="J702" s="269"/>
      <c r="K702" s="269"/>
      <c r="L702" s="269"/>
      <c r="M702" s="319"/>
      <c r="N702" s="271"/>
      <c r="O702" s="280"/>
      <c r="P702" s="271"/>
      <c r="Q702" s="281"/>
      <c r="R702" s="271"/>
      <c r="S702" s="312"/>
      <c r="T702" s="282"/>
      <c r="U702" s="312"/>
      <c r="V702" s="276"/>
    </row>
    <row r="703" spans="1:22" s="172" customFormat="1" ht="20.25" customHeight="1">
      <c r="A703" s="263" t="str">
        <f t="shared" si="331"/>
        <v/>
      </c>
      <c r="B703" s="263"/>
      <c r="C703" s="264">
        <f t="shared" si="302"/>
        <v>702</v>
      </c>
      <c r="D703" s="323" t="s">
        <v>1342</v>
      </c>
      <c r="E703" s="293"/>
      <c r="F703" s="267" t="s">
        <v>44</v>
      </c>
      <c r="G703" s="267"/>
      <c r="H703" s="317">
        <f>H691</f>
        <v>26</v>
      </c>
      <c r="I703" s="317" t="str">
        <f>I691</f>
        <v>nb</v>
      </c>
      <c r="J703" s="269"/>
      <c r="K703" s="269"/>
      <c r="L703" s="269"/>
      <c r="M703" s="319">
        <v>2</v>
      </c>
      <c r="N703" s="296" t="s">
        <v>81</v>
      </c>
      <c r="O703" s="272">
        <v>1</v>
      </c>
      <c r="P703" s="296" t="s">
        <v>81</v>
      </c>
      <c r="Q703" s="325">
        <v>4</v>
      </c>
      <c r="R703" s="271" t="s">
        <v>112</v>
      </c>
      <c r="S703" s="290">
        <f t="shared" ref="S703:S705" si="347">O703*Q703</f>
        <v>4</v>
      </c>
      <c r="T703" s="275">
        <v>1</v>
      </c>
      <c r="U703" s="290">
        <f t="shared" si="336"/>
        <v>5</v>
      </c>
      <c r="V703" s="302" t="s">
        <v>48</v>
      </c>
    </row>
    <row r="704" spans="1:22" s="172" customFormat="1" ht="20.25" customHeight="1">
      <c r="A704" s="263" t="str">
        <f t="shared" si="331"/>
        <v/>
      </c>
      <c r="B704" s="263"/>
      <c r="C704" s="264">
        <f t="shared" si="302"/>
        <v>703</v>
      </c>
      <c r="D704" s="323" t="s">
        <v>1343</v>
      </c>
      <c r="E704" s="293">
        <f>C703</f>
        <v>702</v>
      </c>
      <c r="F704" s="267" t="s">
        <v>44</v>
      </c>
      <c r="G704" s="267"/>
      <c r="H704" s="317">
        <f>H692</f>
        <v>2</v>
      </c>
      <c r="I704" s="317" t="str">
        <f>I692</f>
        <v>nb</v>
      </c>
      <c r="J704" s="269"/>
      <c r="K704" s="269"/>
      <c r="L704" s="269"/>
      <c r="M704" s="319">
        <v>2</v>
      </c>
      <c r="N704" s="296" t="s">
        <v>81</v>
      </c>
      <c r="O704" s="272">
        <v>1</v>
      </c>
      <c r="P704" s="296" t="s">
        <v>81</v>
      </c>
      <c r="Q704" s="325">
        <v>1</v>
      </c>
      <c r="R704" s="271" t="s">
        <v>112</v>
      </c>
      <c r="S704" s="290">
        <f t="shared" si="347"/>
        <v>1</v>
      </c>
      <c r="T704" s="275">
        <v>1</v>
      </c>
      <c r="U704" s="290">
        <f t="shared" si="336"/>
        <v>2</v>
      </c>
      <c r="V704" s="302" t="s">
        <v>48</v>
      </c>
    </row>
    <row r="705" spans="1:22" s="172" customFormat="1" ht="20.25" customHeight="1">
      <c r="A705" s="263" t="str">
        <f t="shared" si="331"/>
        <v/>
      </c>
      <c r="B705" s="263"/>
      <c r="C705" s="264">
        <f t="shared" si="302"/>
        <v>704</v>
      </c>
      <c r="D705" s="323" t="s">
        <v>1315</v>
      </c>
      <c r="E705" s="293">
        <f>C704</f>
        <v>703</v>
      </c>
      <c r="F705" s="267" t="s">
        <v>44</v>
      </c>
      <c r="G705" s="267"/>
      <c r="H705" s="268"/>
      <c r="I705" s="268"/>
      <c r="J705" s="269"/>
      <c r="K705" s="269"/>
      <c r="L705" s="269"/>
      <c r="M705" s="319">
        <v>4</v>
      </c>
      <c r="N705" s="296" t="s">
        <v>81</v>
      </c>
      <c r="O705" s="272">
        <v>1</v>
      </c>
      <c r="P705" s="296" t="s">
        <v>81</v>
      </c>
      <c r="Q705" s="273">
        <v>1</v>
      </c>
      <c r="R705" s="271" t="s">
        <v>112</v>
      </c>
      <c r="S705" s="290">
        <f t="shared" si="347"/>
        <v>1</v>
      </c>
      <c r="T705" s="275">
        <v>1</v>
      </c>
      <c r="U705" s="290">
        <f t="shared" si="336"/>
        <v>2</v>
      </c>
      <c r="V705" s="302" t="s">
        <v>48</v>
      </c>
    </row>
    <row r="706" spans="1:22" s="172" customFormat="1" ht="20.25" customHeight="1">
      <c r="A706" s="263">
        <f t="shared" si="331"/>
        <v>705</v>
      </c>
      <c r="B706" s="263" t="s">
        <v>1263</v>
      </c>
      <c r="C706" s="264">
        <f t="shared" si="302"/>
        <v>705</v>
      </c>
      <c r="D706" s="265" t="s">
        <v>1350</v>
      </c>
      <c r="E706" s="279">
        <f>C702</f>
        <v>701</v>
      </c>
      <c r="F706" s="267"/>
      <c r="G706" s="267"/>
      <c r="H706" s="268"/>
      <c r="I706" s="268"/>
      <c r="J706" s="269"/>
      <c r="K706" s="269"/>
      <c r="L706" s="269"/>
      <c r="M706" s="319"/>
      <c r="N706" s="271"/>
      <c r="O706" s="280"/>
      <c r="P706" s="271"/>
      <c r="Q706" s="281"/>
      <c r="R706" s="271"/>
      <c r="S706" s="312"/>
      <c r="T706" s="282"/>
      <c r="U706" s="312"/>
      <c r="V706" s="276"/>
    </row>
    <row r="707" spans="1:22" s="172" customFormat="1" ht="20.25" customHeight="1">
      <c r="A707" s="263" t="str">
        <f t="shared" si="331"/>
        <v/>
      </c>
      <c r="B707" s="263"/>
      <c r="C707" s="264">
        <f t="shared" si="302"/>
        <v>706</v>
      </c>
      <c r="D707" s="320" t="s">
        <v>1342</v>
      </c>
      <c r="E707" s="293"/>
      <c r="F707" s="267" t="s">
        <v>121</v>
      </c>
      <c r="G707" s="267"/>
      <c r="H707" s="317">
        <f>H695</f>
        <v>26</v>
      </c>
      <c r="I707" s="317" t="str">
        <f>I695</f>
        <v>nb</v>
      </c>
      <c r="J707" s="269"/>
      <c r="K707" s="269"/>
      <c r="L707" s="269"/>
      <c r="M707" s="319">
        <v>2</v>
      </c>
      <c r="N707" s="296" t="s">
        <v>81</v>
      </c>
      <c r="O707" s="272">
        <v>0</v>
      </c>
      <c r="P707" s="296" t="s">
        <v>81</v>
      </c>
      <c r="Q707" s="325"/>
      <c r="R707" s="271" t="s">
        <v>112</v>
      </c>
      <c r="S707" s="290">
        <f t="shared" ref="S707:S709" si="348">O707*Q707</f>
        <v>0</v>
      </c>
      <c r="T707" s="275">
        <v>1</v>
      </c>
      <c r="U707" s="290">
        <f t="shared" si="336"/>
        <v>1</v>
      </c>
      <c r="V707" s="302" t="s">
        <v>48</v>
      </c>
    </row>
    <row r="708" spans="1:22" s="172" customFormat="1" ht="20.25" customHeight="1">
      <c r="A708" s="263" t="str">
        <f t="shared" si="331"/>
        <v/>
      </c>
      <c r="B708" s="263"/>
      <c r="C708" s="264">
        <f t="shared" si="302"/>
        <v>707</v>
      </c>
      <c r="D708" s="320" t="s">
        <v>1343</v>
      </c>
      <c r="E708" s="293">
        <f>C707</f>
        <v>706</v>
      </c>
      <c r="F708" s="267" t="s">
        <v>121</v>
      </c>
      <c r="G708" s="267"/>
      <c r="H708" s="317">
        <f>H696</f>
        <v>2</v>
      </c>
      <c r="I708" s="317" t="str">
        <f>I696</f>
        <v>nb</v>
      </c>
      <c r="J708" s="269"/>
      <c r="K708" s="269"/>
      <c r="L708" s="269"/>
      <c r="M708" s="319">
        <v>2</v>
      </c>
      <c r="N708" s="296" t="s">
        <v>81</v>
      </c>
      <c r="O708" s="272">
        <v>0</v>
      </c>
      <c r="P708" s="296" t="s">
        <v>81</v>
      </c>
      <c r="Q708" s="325"/>
      <c r="R708" s="271" t="s">
        <v>112</v>
      </c>
      <c r="S708" s="290">
        <f t="shared" si="348"/>
        <v>0</v>
      </c>
      <c r="T708" s="275">
        <v>1</v>
      </c>
      <c r="U708" s="290">
        <f t="shared" si="336"/>
        <v>1</v>
      </c>
      <c r="V708" s="302" t="s">
        <v>48</v>
      </c>
    </row>
    <row r="709" spans="1:22" s="172" customFormat="1" ht="20.25" customHeight="1">
      <c r="A709" s="263" t="str">
        <f t="shared" si="331"/>
        <v/>
      </c>
      <c r="B709" s="263"/>
      <c r="C709" s="264">
        <f t="shared" ref="C709:C772" si="349">C708+1</f>
        <v>708</v>
      </c>
      <c r="D709" s="320" t="s">
        <v>1315</v>
      </c>
      <c r="E709" s="293">
        <f>C708</f>
        <v>707</v>
      </c>
      <c r="F709" s="267" t="s">
        <v>121</v>
      </c>
      <c r="G709" s="267"/>
      <c r="H709" s="268"/>
      <c r="I709" s="268"/>
      <c r="J709" s="269"/>
      <c r="K709" s="269"/>
      <c r="L709" s="269"/>
      <c r="M709" s="319">
        <v>4</v>
      </c>
      <c r="N709" s="296" t="s">
        <v>81</v>
      </c>
      <c r="O709" s="272">
        <v>0</v>
      </c>
      <c r="P709" s="296" t="s">
        <v>81</v>
      </c>
      <c r="Q709" s="273"/>
      <c r="R709" s="271" t="s">
        <v>112</v>
      </c>
      <c r="S709" s="290">
        <f t="shared" si="348"/>
        <v>0</v>
      </c>
      <c r="T709" s="275">
        <v>1</v>
      </c>
      <c r="U709" s="290">
        <f t="shared" si="336"/>
        <v>1</v>
      </c>
      <c r="V709" s="302" t="s">
        <v>48</v>
      </c>
    </row>
    <row r="710" spans="1:22" s="172" customFormat="1" ht="20.25" customHeight="1">
      <c r="A710" s="263">
        <f t="shared" si="331"/>
        <v>709</v>
      </c>
      <c r="B710" s="263" t="s">
        <v>1263</v>
      </c>
      <c r="C710" s="264">
        <f t="shared" si="349"/>
        <v>709</v>
      </c>
      <c r="D710" s="265" t="s">
        <v>1351</v>
      </c>
      <c r="E710" s="279">
        <f>C706</f>
        <v>705</v>
      </c>
      <c r="F710" s="267"/>
      <c r="G710" s="267"/>
      <c r="H710" s="268"/>
      <c r="I710" s="268"/>
      <c r="J710" s="269"/>
      <c r="K710" s="269"/>
      <c r="L710" s="269"/>
      <c r="M710" s="319"/>
      <c r="N710" s="271"/>
      <c r="O710" s="280"/>
      <c r="P710" s="271"/>
      <c r="Q710" s="281"/>
      <c r="R710" s="271"/>
      <c r="S710" s="312"/>
      <c r="T710" s="282"/>
      <c r="U710" s="312"/>
      <c r="V710" s="276"/>
    </row>
    <row r="711" spans="1:22" s="172" customFormat="1" ht="20.25" customHeight="1">
      <c r="A711" s="263" t="str">
        <f t="shared" si="331"/>
        <v/>
      </c>
      <c r="B711" s="263"/>
      <c r="C711" s="264">
        <f t="shared" si="349"/>
        <v>710</v>
      </c>
      <c r="D711" s="323" t="s">
        <v>1342</v>
      </c>
      <c r="E711" s="293"/>
      <c r="F711" s="267" t="s">
        <v>121</v>
      </c>
      <c r="G711" s="267"/>
      <c r="H711" s="316">
        <v>18</v>
      </c>
      <c r="I711" s="316"/>
      <c r="J711" s="317">
        <f>J699</f>
        <v>3054</v>
      </c>
      <c r="K711" s="317" t="str">
        <f>K699</f>
        <v>mm</v>
      </c>
      <c r="L711" s="367" t="str">
        <f t="shared" ref="L711" si="350">J711&amp;" "&amp;K711</f>
        <v>3054 mm</v>
      </c>
      <c r="M711" s="319">
        <v>2</v>
      </c>
      <c r="N711" s="296" t="s">
        <v>81</v>
      </c>
      <c r="O711" s="297">
        <f>LEFT(L711,SEARCH(" ",L711,1)-1)*M711*0.001</f>
        <v>6.1080000000000005</v>
      </c>
      <c r="P711" s="296" t="s">
        <v>81</v>
      </c>
      <c r="Q711" s="325">
        <v>1</v>
      </c>
      <c r="R711" s="271" t="s">
        <v>112</v>
      </c>
      <c r="S711" s="290">
        <f t="shared" ref="S711:S713" si="351">O711*Q711</f>
        <v>6.1080000000000005</v>
      </c>
      <c r="T711" s="275">
        <v>1</v>
      </c>
      <c r="U711" s="290">
        <f t="shared" si="336"/>
        <v>7.11</v>
      </c>
      <c r="V711" s="302" t="s">
        <v>48</v>
      </c>
    </row>
    <row r="712" spans="1:22" s="172" customFormat="1" ht="20.25" customHeight="1">
      <c r="A712" s="263" t="str">
        <f t="shared" si="331"/>
        <v/>
      </c>
      <c r="B712" s="263"/>
      <c r="C712" s="264">
        <f t="shared" si="349"/>
        <v>711</v>
      </c>
      <c r="D712" s="323" t="s">
        <v>1343</v>
      </c>
      <c r="E712" s="293">
        <f t="shared" ref="E712:E713" si="352">C711</f>
        <v>710</v>
      </c>
      <c r="F712" s="267" t="s">
        <v>121</v>
      </c>
      <c r="G712" s="267"/>
      <c r="H712" s="316">
        <v>18</v>
      </c>
      <c r="I712" s="316"/>
      <c r="J712" s="308">
        <f>J700</f>
        <v>272</v>
      </c>
      <c r="K712" s="308" t="str">
        <f>K700</f>
        <v>mm</v>
      </c>
      <c r="L712" s="367" t="str">
        <f t="shared" ref="L712" si="353">J712&amp;" "&amp;K712</f>
        <v>272 mm</v>
      </c>
      <c r="M712" s="319">
        <v>2</v>
      </c>
      <c r="N712" s="296" t="s">
        <v>81</v>
      </c>
      <c r="O712" s="297">
        <f>LEFT(L712,SEARCH(" ",L712,1)-1)*M712*0.001</f>
        <v>0.54400000000000004</v>
      </c>
      <c r="P712" s="296" t="s">
        <v>81</v>
      </c>
      <c r="Q712" s="325">
        <v>0.5</v>
      </c>
      <c r="R712" s="271" t="s">
        <v>112</v>
      </c>
      <c r="S712" s="290">
        <f t="shared" si="351"/>
        <v>0.27200000000000002</v>
      </c>
      <c r="T712" s="275">
        <v>1</v>
      </c>
      <c r="U712" s="290">
        <f t="shared" si="336"/>
        <v>1.27</v>
      </c>
      <c r="V712" s="302" t="s">
        <v>48</v>
      </c>
    </row>
    <row r="713" spans="1:22" s="172" customFormat="1" ht="20.25" customHeight="1">
      <c r="A713" s="263" t="str">
        <f t="shared" si="331"/>
        <v/>
      </c>
      <c r="B713" s="263"/>
      <c r="C713" s="264">
        <f t="shared" si="349"/>
        <v>712</v>
      </c>
      <c r="D713" s="323" t="s">
        <v>1315</v>
      </c>
      <c r="E713" s="293">
        <f t="shared" si="352"/>
        <v>711</v>
      </c>
      <c r="F713" s="267" t="s">
        <v>121</v>
      </c>
      <c r="G713" s="267"/>
      <c r="H713" s="268"/>
      <c r="I713" s="268"/>
      <c r="J713" s="269"/>
      <c r="K713" s="269"/>
      <c r="L713" s="269"/>
      <c r="M713" s="319">
        <v>4</v>
      </c>
      <c r="N713" s="296" t="s">
        <v>81</v>
      </c>
      <c r="O713" s="272">
        <v>1</v>
      </c>
      <c r="P713" s="296" t="s">
        <v>81</v>
      </c>
      <c r="Q713" s="273">
        <v>1</v>
      </c>
      <c r="R713" s="271" t="s">
        <v>112</v>
      </c>
      <c r="S713" s="290">
        <f t="shared" si="351"/>
        <v>1</v>
      </c>
      <c r="T713" s="275">
        <v>1</v>
      </c>
      <c r="U713" s="290">
        <f t="shared" si="336"/>
        <v>2</v>
      </c>
      <c r="V713" s="302" t="s">
        <v>48</v>
      </c>
    </row>
    <row r="714" spans="1:22" s="172" customFormat="1" ht="20.25" customHeight="1">
      <c r="A714" s="263">
        <f t="shared" si="331"/>
        <v>713</v>
      </c>
      <c r="B714" s="263" t="s">
        <v>1263</v>
      </c>
      <c r="C714" s="264">
        <f t="shared" si="349"/>
        <v>713</v>
      </c>
      <c r="D714" s="265" t="s">
        <v>1352</v>
      </c>
      <c r="E714" s="279">
        <f>C710</f>
        <v>709</v>
      </c>
      <c r="F714" s="267"/>
      <c r="G714" s="267"/>
      <c r="H714" s="268"/>
      <c r="I714" s="268"/>
      <c r="J714" s="269"/>
      <c r="K714" s="269"/>
      <c r="L714" s="269"/>
      <c r="M714" s="319"/>
      <c r="N714" s="271"/>
      <c r="O714" s="280"/>
      <c r="P714" s="271"/>
      <c r="Q714" s="281"/>
      <c r="R714" s="271"/>
      <c r="S714" s="312"/>
      <c r="T714" s="282"/>
      <c r="U714" s="312"/>
      <c r="V714" s="276"/>
    </row>
    <row r="715" spans="1:22" s="172" customFormat="1" ht="20.25" customHeight="1">
      <c r="A715" s="263" t="str">
        <f t="shared" si="331"/>
        <v/>
      </c>
      <c r="B715" s="263"/>
      <c r="C715" s="264">
        <f t="shared" si="349"/>
        <v>714</v>
      </c>
      <c r="D715" s="277" t="s">
        <v>1353</v>
      </c>
      <c r="E715" s="293"/>
      <c r="F715" s="267" t="s">
        <v>44</v>
      </c>
      <c r="G715" s="267"/>
      <c r="H715" s="316">
        <v>26</v>
      </c>
      <c r="I715" s="322" t="s">
        <v>1846</v>
      </c>
      <c r="J715" s="317">
        <f>J711</f>
        <v>3054</v>
      </c>
      <c r="K715" s="317" t="str">
        <f>K711</f>
        <v>mm</v>
      </c>
      <c r="L715" s="367" t="str">
        <f t="shared" ref="L715" si="354">J715&amp;" "&amp;K715</f>
        <v>3054 mm</v>
      </c>
      <c r="M715" s="319">
        <v>2</v>
      </c>
      <c r="N715" s="271" t="s">
        <v>81</v>
      </c>
      <c r="O715" s="321">
        <f>M715</f>
        <v>2</v>
      </c>
      <c r="P715" s="271" t="s">
        <v>81</v>
      </c>
      <c r="Q715" s="273">
        <v>1</v>
      </c>
      <c r="R715" s="271"/>
      <c r="S715" s="290">
        <f t="shared" ref="S715:S717" si="355">O715*Q715</f>
        <v>2</v>
      </c>
      <c r="T715" s="275">
        <v>1</v>
      </c>
      <c r="U715" s="290">
        <f t="shared" si="336"/>
        <v>3</v>
      </c>
      <c r="V715" s="302" t="s">
        <v>48</v>
      </c>
    </row>
    <row r="716" spans="1:22" s="172" customFormat="1" ht="20.25" customHeight="1">
      <c r="A716" s="263" t="str">
        <f t="shared" si="331"/>
        <v/>
      </c>
      <c r="B716" s="263"/>
      <c r="C716" s="264">
        <f t="shared" si="349"/>
        <v>715</v>
      </c>
      <c r="D716" s="277" t="s">
        <v>1343</v>
      </c>
      <c r="E716" s="293">
        <f t="shared" ref="E716:E717" si="356">C715</f>
        <v>714</v>
      </c>
      <c r="F716" s="267" t="s">
        <v>44</v>
      </c>
      <c r="G716" s="267"/>
      <c r="H716" s="316">
        <v>2</v>
      </c>
      <c r="I716" s="322" t="s">
        <v>1846</v>
      </c>
      <c r="J716" s="317">
        <f>J712</f>
        <v>272</v>
      </c>
      <c r="K716" s="317" t="str">
        <f>K712</f>
        <v>mm</v>
      </c>
      <c r="L716" s="367" t="str">
        <f t="shared" ref="L716" si="357">J716&amp;" "&amp;K716</f>
        <v>272 mm</v>
      </c>
      <c r="M716" s="319">
        <v>2</v>
      </c>
      <c r="N716" s="271" t="s">
        <v>81</v>
      </c>
      <c r="O716" s="321">
        <f>M716</f>
        <v>2</v>
      </c>
      <c r="P716" s="271" t="s">
        <v>81</v>
      </c>
      <c r="Q716" s="273">
        <v>1</v>
      </c>
      <c r="R716" s="271"/>
      <c r="S716" s="290">
        <f t="shared" si="355"/>
        <v>2</v>
      </c>
      <c r="T716" s="275">
        <v>1</v>
      </c>
      <c r="U716" s="290">
        <f t="shared" si="336"/>
        <v>3</v>
      </c>
      <c r="V716" s="302" t="s">
        <v>48</v>
      </c>
    </row>
    <row r="717" spans="1:22" s="172" customFormat="1" ht="20.25" customHeight="1">
      <c r="A717" s="263" t="str">
        <f t="shared" si="331"/>
        <v/>
      </c>
      <c r="B717" s="263"/>
      <c r="C717" s="264">
        <f t="shared" si="349"/>
        <v>716</v>
      </c>
      <c r="D717" s="277" t="s">
        <v>1315</v>
      </c>
      <c r="E717" s="293">
        <f t="shared" si="356"/>
        <v>715</v>
      </c>
      <c r="F717" s="267" t="s">
        <v>44</v>
      </c>
      <c r="G717" s="267"/>
      <c r="H717" s="268"/>
      <c r="I717" s="268"/>
      <c r="J717" s="269"/>
      <c r="K717" s="269"/>
      <c r="L717" s="269"/>
      <c r="M717" s="319">
        <f>M716+M715</f>
        <v>4</v>
      </c>
      <c r="N717" s="271" t="s">
        <v>81</v>
      </c>
      <c r="O717" s="321">
        <f>M717</f>
        <v>4</v>
      </c>
      <c r="P717" s="271" t="s">
        <v>81</v>
      </c>
      <c r="Q717" s="273">
        <v>0.5</v>
      </c>
      <c r="R717" s="271"/>
      <c r="S717" s="290">
        <f t="shared" si="355"/>
        <v>2</v>
      </c>
      <c r="T717" s="275">
        <v>1</v>
      </c>
      <c r="U717" s="290">
        <f t="shared" si="336"/>
        <v>3</v>
      </c>
      <c r="V717" s="302" t="s">
        <v>48</v>
      </c>
    </row>
    <row r="718" spans="1:22" s="172" customFormat="1" ht="20.25" customHeight="1">
      <c r="A718" s="263">
        <f t="shared" si="331"/>
        <v>717</v>
      </c>
      <c r="B718" s="263" t="s">
        <v>1263</v>
      </c>
      <c r="C718" s="264">
        <f t="shared" si="349"/>
        <v>717</v>
      </c>
      <c r="D718" s="265" t="s">
        <v>1354</v>
      </c>
      <c r="E718" s="279">
        <f>C714</f>
        <v>713</v>
      </c>
      <c r="F718" s="267"/>
      <c r="G718" s="267"/>
      <c r="H718" s="268"/>
      <c r="I718" s="268"/>
      <c r="J718" s="269"/>
      <c r="K718" s="269"/>
      <c r="L718" s="269"/>
      <c r="M718" s="319"/>
      <c r="N718" s="271"/>
      <c r="O718" s="280"/>
      <c r="P718" s="271"/>
      <c r="Q718" s="281"/>
      <c r="R718" s="271"/>
      <c r="S718" s="312"/>
      <c r="T718" s="282"/>
      <c r="U718" s="312"/>
      <c r="V718" s="276"/>
    </row>
    <row r="719" spans="1:22" s="172" customFormat="1" ht="20.25" customHeight="1">
      <c r="A719" s="263" t="str">
        <f t="shared" si="331"/>
        <v/>
      </c>
      <c r="B719" s="263"/>
      <c r="C719" s="264">
        <f t="shared" si="349"/>
        <v>718</v>
      </c>
      <c r="D719" s="277" t="s">
        <v>1353</v>
      </c>
      <c r="E719" s="293"/>
      <c r="F719" s="267" t="s">
        <v>52</v>
      </c>
      <c r="G719" s="267"/>
      <c r="H719" s="317">
        <f>H715</f>
        <v>26</v>
      </c>
      <c r="I719" s="317" t="str">
        <f>I715</f>
        <v>nb</v>
      </c>
      <c r="J719" s="269"/>
      <c r="K719" s="269"/>
      <c r="L719" s="269"/>
      <c r="M719" s="319">
        <f>M715</f>
        <v>2</v>
      </c>
      <c r="N719" s="271" t="s">
        <v>81</v>
      </c>
      <c r="O719" s="321">
        <f>M719</f>
        <v>2</v>
      </c>
      <c r="P719" s="271" t="s">
        <v>81</v>
      </c>
      <c r="Q719" s="273">
        <v>0</v>
      </c>
      <c r="R719" s="271"/>
      <c r="S719" s="290">
        <f t="shared" ref="S719:S721" si="358">O719*Q719</f>
        <v>0</v>
      </c>
      <c r="T719" s="275">
        <v>0</v>
      </c>
      <c r="U719" s="307"/>
      <c r="V719" s="302" t="s">
        <v>48</v>
      </c>
    </row>
    <row r="720" spans="1:22" s="172" customFormat="1" ht="20.25" customHeight="1">
      <c r="A720" s="263" t="str">
        <f t="shared" si="331"/>
        <v/>
      </c>
      <c r="B720" s="263"/>
      <c r="C720" s="264">
        <f t="shared" si="349"/>
        <v>719</v>
      </c>
      <c r="D720" s="277" t="s">
        <v>1343</v>
      </c>
      <c r="E720" s="293">
        <f t="shared" ref="E720:E721" si="359">C719</f>
        <v>718</v>
      </c>
      <c r="F720" s="267" t="s">
        <v>52</v>
      </c>
      <c r="G720" s="267"/>
      <c r="H720" s="317">
        <f>H716</f>
        <v>2</v>
      </c>
      <c r="I720" s="317" t="str">
        <f>I716</f>
        <v>nb</v>
      </c>
      <c r="J720" s="269"/>
      <c r="K720" s="269"/>
      <c r="L720" s="269"/>
      <c r="M720" s="319">
        <f>M716</f>
        <v>2</v>
      </c>
      <c r="N720" s="271" t="s">
        <v>81</v>
      </c>
      <c r="O720" s="321">
        <f>M720</f>
        <v>2</v>
      </c>
      <c r="P720" s="271" t="s">
        <v>81</v>
      </c>
      <c r="Q720" s="273">
        <v>0</v>
      </c>
      <c r="R720" s="271"/>
      <c r="S720" s="290">
        <f t="shared" si="358"/>
        <v>0</v>
      </c>
      <c r="T720" s="275">
        <v>0</v>
      </c>
      <c r="U720" s="307"/>
      <c r="V720" s="302" t="s">
        <v>48</v>
      </c>
    </row>
    <row r="721" spans="1:22" s="172" customFormat="1" ht="20.25" customHeight="1">
      <c r="A721" s="263" t="str">
        <f t="shared" si="331"/>
        <v/>
      </c>
      <c r="B721" s="263"/>
      <c r="C721" s="264">
        <f t="shared" si="349"/>
        <v>720</v>
      </c>
      <c r="D721" s="277" t="s">
        <v>1315</v>
      </c>
      <c r="E721" s="293">
        <f t="shared" si="359"/>
        <v>719</v>
      </c>
      <c r="F721" s="267" t="s">
        <v>52</v>
      </c>
      <c r="G721" s="267"/>
      <c r="H721" s="268"/>
      <c r="I721" s="268"/>
      <c r="J721" s="269"/>
      <c r="K721" s="269"/>
      <c r="L721" s="269"/>
      <c r="M721" s="319">
        <f>M720+M719</f>
        <v>4</v>
      </c>
      <c r="N721" s="271" t="s">
        <v>81</v>
      </c>
      <c r="O721" s="321">
        <f>M721</f>
        <v>4</v>
      </c>
      <c r="P721" s="271" t="s">
        <v>81</v>
      </c>
      <c r="Q721" s="273">
        <v>0</v>
      </c>
      <c r="R721" s="271"/>
      <c r="S721" s="290">
        <f t="shared" si="358"/>
        <v>0</v>
      </c>
      <c r="T721" s="275">
        <v>0</v>
      </c>
      <c r="U721" s="307"/>
      <c r="V721" s="302" t="s">
        <v>48</v>
      </c>
    </row>
    <row r="722" spans="1:22" s="172" customFormat="1" ht="20.25" customHeight="1">
      <c r="A722" s="263">
        <f t="shared" si="331"/>
        <v>721</v>
      </c>
      <c r="B722" s="263" t="s">
        <v>1263</v>
      </c>
      <c r="C722" s="264">
        <f t="shared" si="349"/>
        <v>721</v>
      </c>
      <c r="D722" s="265" t="s">
        <v>1355</v>
      </c>
      <c r="E722" s="279">
        <f>C718</f>
        <v>717</v>
      </c>
      <c r="F722" s="267"/>
      <c r="G722" s="267"/>
      <c r="H722" s="268"/>
      <c r="I722" s="268"/>
      <c r="J722" s="269"/>
      <c r="K722" s="269"/>
      <c r="L722" s="269"/>
      <c r="M722" s="319"/>
      <c r="N722" s="271"/>
      <c r="O722" s="280"/>
      <c r="P722" s="271"/>
      <c r="Q722" s="281"/>
      <c r="R722" s="271"/>
      <c r="S722" s="312"/>
      <c r="T722" s="282"/>
      <c r="U722" s="312"/>
      <c r="V722" s="276"/>
    </row>
    <row r="723" spans="1:22" s="172" customFormat="1" ht="20.25" customHeight="1">
      <c r="A723" s="263" t="str">
        <f t="shared" si="331"/>
        <v/>
      </c>
      <c r="B723" s="263"/>
      <c r="C723" s="264">
        <f t="shared" si="349"/>
        <v>722</v>
      </c>
      <c r="D723" s="277" t="s">
        <v>1353</v>
      </c>
      <c r="E723" s="293"/>
      <c r="F723" s="267" t="s">
        <v>121</v>
      </c>
      <c r="G723" s="267"/>
      <c r="H723" s="317">
        <f>H715</f>
        <v>26</v>
      </c>
      <c r="I723" s="317" t="str">
        <f>I715</f>
        <v>nb</v>
      </c>
      <c r="J723" s="269"/>
      <c r="K723" s="269"/>
      <c r="L723" s="269"/>
      <c r="M723" s="319">
        <f>M715</f>
        <v>2</v>
      </c>
      <c r="N723" s="271" t="s">
        <v>81</v>
      </c>
      <c r="O723" s="272">
        <v>2</v>
      </c>
      <c r="P723" s="271" t="s">
        <v>81</v>
      </c>
      <c r="Q723" s="273">
        <v>4</v>
      </c>
      <c r="R723" s="271"/>
      <c r="S723" s="290">
        <f t="shared" ref="S723:S725" si="360">O723*Q723</f>
        <v>8</v>
      </c>
      <c r="T723" s="275">
        <v>0</v>
      </c>
      <c r="U723" s="290">
        <f t="shared" si="336"/>
        <v>8</v>
      </c>
      <c r="V723" s="302" t="s">
        <v>48</v>
      </c>
    </row>
    <row r="724" spans="1:22" s="172" customFormat="1" ht="20.25" customHeight="1">
      <c r="A724" s="263" t="str">
        <f t="shared" si="331"/>
        <v/>
      </c>
      <c r="B724" s="263"/>
      <c r="C724" s="264">
        <f t="shared" si="349"/>
        <v>723</v>
      </c>
      <c r="D724" s="277" t="s">
        <v>1343</v>
      </c>
      <c r="E724" s="293">
        <f t="shared" ref="E724:E725" si="361">C723</f>
        <v>722</v>
      </c>
      <c r="F724" s="267" t="s">
        <v>121</v>
      </c>
      <c r="G724" s="267"/>
      <c r="H724" s="317">
        <f>H716</f>
        <v>2</v>
      </c>
      <c r="I724" s="317" t="str">
        <f>I716</f>
        <v>nb</v>
      </c>
      <c r="J724" s="269"/>
      <c r="K724" s="269"/>
      <c r="L724" s="269"/>
      <c r="M724" s="319">
        <f>M716</f>
        <v>2</v>
      </c>
      <c r="N724" s="271" t="s">
        <v>81</v>
      </c>
      <c r="O724" s="272">
        <v>2</v>
      </c>
      <c r="P724" s="271" t="s">
        <v>81</v>
      </c>
      <c r="Q724" s="273">
        <v>0</v>
      </c>
      <c r="R724" s="271"/>
      <c r="S724" s="290">
        <f t="shared" si="360"/>
        <v>0</v>
      </c>
      <c r="T724" s="275">
        <v>0</v>
      </c>
      <c r="U724" s="307"/>
      <c r="V724" s="302" t="s">
        <v>48</v>
      </c>
    </row>
    <row r="725" spans="1:22" s="172" customFormat="1" ht="20.25" customHeight="1">
      <c r="A725" s="263" t="str">
        <f t="shared" si="331"/>
        <v/>
      </c>
      <c r="B725" s="263"/>
      <c r="C725" s="264">
        <f t="shared" si="349"/>
        <v>724</v>
      </c>
      <c r="D725" s="277" t="s">
        <v>1315</v>
      </c>
      <c r="E725" s="293">
        <f t="shared" si="361"/>
        <v>723</v>
      </c>
      <c r="F725" s="267" t="s">
        <v>121</v>
      </c>
      <c r="G725" s="267"/>
      <c r="H725" s="268"/>
      <c r="I725" s="268"/>
      <c r="J725" s="269"/>
      <c r="K725" s="269"/>
      <c r="L725" s="269"/>
      <c r="M725" s="319">
        <f>M724+M723</f>
        <v>4</v>
      </c>
      <c r="N725" s="271" t="s">
        <v>81</v>
      </c>
      <c r="O725" s="272">
        <v>4</v>
      </c>
      <c r="P725" s="271" t="s">
        <v>81</v>
      </c>
      <c r="Q725" s="273">
        <v>0</v>
      </c>
      <c r="R725" s="271"/>
      <c r="S725" s="290">
        <f t="shared" si="360"/>
        <v>0</v>
      </c>
      <c r="T725" s="275">
        <v>0</v>
      </c>
      <c r="U725" s="307"/>
      <c r="V725" s="302" t="s">
        <v>48</v>
      </c>
    </row>
    <row r="726" spans="1:22" s="172" customFormat="1" ht="20.25" customHeight="1">
      <c r="A726" s="263">
        <f t="shared" si="331"/>
        <v>725</v>
      </c>
      <c r="B726" s="263" t="s">
        <v>1263</v>
      </c>
      <c r="C726" s="264">
        <f t="shared" si="349"/>
        <v>725</v>
      </c>
      <c r="D726" s="265" t="s">
        <v>1356</v>
      </c>
      <c r="E726" s="279">
        <f>C722</f>
        <v>721</v>
      </c>
      <c r="F726" s="267"/>
      <c r="G726" s="267"/>
      <c r="H726" s="268"/>
      <c r="I726" s="268"/>
      <c r="J726" s="269"/>
      <c r="K726" s="269"/>
      <c r="L726" s="269"/>
      <c r="M726" s="319"/>
      <c r="N726" s="271"/>
      <c r="O726" s="280"/>
      <c r="P726" s="271"/>
      <c r="Q726" s="281"/>
      <c r="R726" s="271"/>
      <c r="S726" s="312"/>
      <c r="T726" s="282"/>
      <c r="U726" s="312"/>
      <c r="V726" s="276"/>
    </row>
    <row r="727" spans="1:22" s="172" customFormat="1" ht="20.25" customHeight="1">
      <c r="A727" s="263" t="str">
        <f t="shared" si="331"/>
        <v/>
      </c>
      <c r="B727" s="263"/>
      <c r="C727" s="264">
        <f t="shared" si="349"/>
        <v>726</v>
      </c>
      <c r="D727" s="277" t="s">
        <v>1353</v>
      </c>
      <c r="E727" s="293"/>
      <c r="F727" s="267" t="s">
        <v>111</v>
      </c>
      <c r="G727" s="267"/>
      <c r="H727" s="317">
        <f>H715</f>
        <v>26</v>
      </c>
      <c r="I727" s="317" t="str">
        <f>I715</f>
        <v>nb</v>
      </c>
      <c r="J727" s="269"/>
      <c r="K727" s="269"/>
      <c r="L727" s="269"/>
      <c r="M727" s="319">
        <v>2</v>
      </c>
      <c r="N727" s="296" t="s">
        <v>81</v>
      </c>
      <c r="O727" s="272">
        <v>2</v>
      </c>
      <c r="P727" s="296" t="s">
        <v>81</v>
      </c>
      <c r="Q727" s="273">
        <v>4</v>
      </c>
      <c r="R727" s="271" t="s">
        <v>112</v>
      </c>
      <c r="S727" s="290">
        <f t="shared" ref="S727:S729" si="362">O727*Q727</f>
        <v>8</v>
      </c>
      <c r="T727" s="275">
        <v>1</v>
      </c>
      <c r="U727" s="290">
        <f t="shared" si="336"/>
        <v>9</v>
      </c>
      <c r="V727" s="302" t="s">
        <v>48</v>
      </c>
    </row>
    <row r="728" spans="1:22" s="172" customFormat="1" ht="20.25" customHeight="1">
      <c r="A728" s="263" t="str">
        <f t="shared" si="331"/>
        <v/>
      </c>
      <c r="B728" s="263"/>
      <c r="C728" s="264">
        <f t="shared" si="349"/>
        <v>727</v>
      </c>
      <c r="D728" s="277" t="s">
        <v>1343</v>
      </c>
      <c r="E728" s="293">
        <f t="shared" ref="E728:E729" si="363">C727</f>
        <v>726</v>
      </c>
      <c r="F728" s="267" t="s">
        <v>111</v>
      </c>
      <c r="G728" s="267"/>
      <c r="H728" s="317">
        <f>H716</f>
        <v>2</v>
      </c>
      <c r="I728" s="317" t="str">
        <f>I716</f>
        <v>nb</v>
      </c>
      <c r="J728" s="269"/>
      <c r="K728" s="269"/>
      <c r="L728" s="269"/>
      <c r="M728" s="319">
        <v>2</v>
      </c>
      <c r="N728" s="296" t="s">
        <v>81</v>
      </c>
      <c r="O728" s="272">
        <v>2</v>
      </c>
      <c r="P728" s="296" t="s">
        <v>81</v>
      </c>
      <c r="Q728" s="273">
        <v>0</v>
      </c>
      <c r="R728" s="271" t="s">
        <v>112</v>
      </c>
      <c r="S728" s="290">
        <f t="shared" si="362"/>
        <v>0</v>
      </c>
      <c r="T728" s="275">
        <v>1</v>
      </c>
      <c r="U728" s="290">
        <f t="shared" si="336"/>
        <v>1</v>
      </c>
      <c r="V728" s="302" t="s">
        <v>48</v>
      </c>
    </row>
    <row r="729" spans="1:22" s="172" customFormat="1" ht="20.25" customHeight="1">
      <c r="A729" s="263" t="str">
        <f t="shared" si="331"/>
        <v/>
      </c>
      <c r="B729" s="263"/>
      <c r="C729" s="264">
        <f t="shared" si="349"/>
        <v>728</v>
      </c>
      <c r="D729" s="277" t="s">
        <v>1315</v>
      </c>
      <c r="E729" s="293">
        <f t="shared" si="363"/>
        <v>727</v>
      </c>
      <c r="F729" s="267" t="s">
        <v>111</v>
      </c>
      <c r="G729" s="267"/>
      <c r="H729" s="268"/>
      <c r="I729" s="268"/>
      <c r="J729" s="269"/>
      <c r="K729" s="269"/>
      <c r="L729" s="269"/>
      <c r="M729" s="319">
        <v>4</v>
      </c>
      <c r="N729" s="296" t="s">
        <v>81</v>
      </c>
      <c r="O729" s="272">
        <v>4</v>
      </c>
      <c r="P729" s="296" t="s">
        <v>81</v>
      </c>
      <c r="Q729" s="273">
        <v>0.25</v>
      </c>
      <c r="R729" s="271" t="s">
        <v>112</v>
      </c>
      <c r="S729" s="290">
        <f t="shared" si="362"/>
        <v>1</v>
      </c>
      <c r="T729" s="275">
        <v>1</v>
      </c>
      <c r="U729" s="290">
        <f t="shared" si="336"/>
        <v>2</v>
      </c>
      <c r="V729" s="302" t="s">
        <v>48</v>
      </c>
    </row>
    <row r="730" spans="1:22" s="172" customFormat="1" ht="20.25" customHeight="1">
      <c r="A730" s="263">
        <f t="shared" si="331"/>
        <v>729</v>
      </c>
      <c r="B730" s="263" t="s">
        <v>1263</v>
      </c>
      <c r="C730" s="264">
        <f t="shared" si="349"/>
        <v>729</v>
      </c>
      <c r="D730" s="265" t="s">
        <v>1357</v>
      </c>
      <c r="E730" s="279">
        <f>C726</f>
        <v>725</v>
      </c>
      <c r="F730" s="267"/>
      <c r="G730" s="267"/>
      <c r="H730" s="268"/>
      <c r="I730" s="268"/>
      <c r="J730" s="269"/>
      <c r="K730" s="269"/>
      <c r="L730" s="269"/>
      <c r="M730" s="319"/>
      <c r="N730" s="271"/>
      <c r="O730" s="280"/>
      <c r="P730" s="271"/>
      <c r="Q730" s="281"/>
      <c r="R730" s="271"/>
      <c r="S730" s="312"/>
      <c r="T730" s="282"/>
      <c r="U730" s="312"/>
      <c r="V730" s="276"/>
    </row>
    <row r="731" spans="1:22" s="172" customFormat="1" ht="20.25" customHeight="1">
      <c r="A731" s="263" t="str">
        <f t="shared" si="331"/>
        <v/>
      </c>
      <c r="B731" s="263"/>
      <c r="C731" s="264">
        <f t="shared" si="349"/>
        <v>730</v>
      </c>
      <c r="D731" s="277" t="s">
        <v>1353</v>
      </c>
      <c r="E731" s="293"/>
      <c r="F731" s="267" t="s">
        <v>115</v>
      </c>
      <c r="G731" s="267"/>
      <c r="H731" s="316">
        <v>18</v>
      </c>
      <c r="I731" s="316"/>
      <c r="J731" s="316">
        <v>3054</v>
      </c>
      <c r="K731" s="322" t="s">
        <v>1831</v>
      </c>
      <c r="L731" s="367" t="str">
        <f t="shared" ref="L731:L732" si="364">J731&amp;" "&amp;K731</f>
        <v>3054 mm</v>
      </c>
      <c r="M731" s="319">
        <v>2</v>
      </c>
      <c r="N731" s="296" t="s">
        <v>81</v>
      </c>
      <c r="O731" s="297">
        <f>LEFT(L731,SEARCH(" ",L731,1)-1)*M731*0.001</f>
        <v>6.1080000000000005</v>
      </c>
      <c r="P731" s="296" t="s">
        <v>81</v>
      </c>
      <c r="Q731" s="324">
        <f>6.12</f>
        <v>6.12</v>
      </c>
      <c r="R731" s="271" t="s">
        <v>112</v>
      </c>
      <c r="S731" s="290">
        <f>O731*Q731</f>
        <v>37.380960000000002</v>
      </c>
      <c r="T731" s="275">
        <v>1</v>
      </c>
      <c r="U731" s="290">
        <f t="shared" si="336"/>
        <v>38.380000000000003</v>
      </c>
      <c r="V731" s="302" t="s">
        <v>48</v>
      </c>
    </row>
    <row r="732" spans="1:22" s="172" customFormat="1" ht="20.25" customHeight="1">
      <c r="A732" s="263" t="str">
        <f t="shared" ref="A732:A795" si="365">IF(B732="Yes",C732,"")</f>
        <v/>
      </c>
      <c r="B732" s="263"/>
      <c r="C732" s="264">
        <f t="shared" si="349"/>
        <v>731</v>
      </c>
      <c r="D732" s="277" t="s">
        <v>1343</v>
      </c>
      <c r="E732" s="293">
        <f t="shared" ref="E732:E733" si="366">C731</f>
        <v>730</v>
      </c>
      <c r="F732" s="267" t="s">
        <v>115</v>
      </c>
      <c r="G732" s="267"/>
      <c r="H732" s="317">
        <f>H720</f>
        <v>2</v>
      </c>
      <c r="I732" s="317" t="str">
        <f>I720</f>
        <v>nb</v>
      </c>
      <c r="J732" s="322">
        <v>272</v>
      </c>
      <c r="K732" s="322" t="s">
        <v>1831</v>
      </c>
      <c r="L732" s="367" t="str">
        <f t="shared" si="364"/>
        <v>272 mm</v>
      </c>
      <c r="M732" s="319">
        <v>2</v>
      </c>
      <c r="N732" s="296" t="s">
        <v>81</v>
      </c>
      <c r="O732" s="272">
        <v>0</v>
      </c>
      <c r="P732" s="296" t="s">
        <v>81</v>
      </c>
      <c r="Q732" s="325"/>
      <c r="R732" s="271" t="s">
        <v>112</v>
      </c>
      <c r="S732" s="290">
        <f t="shared" ref="S732:S733" si="367">O732*Q732</f>
        <v>0</v>
      </c>
      <c r="T732" s="275"/>
      <c r="U732" s="307"/>
      <c r="V732" s="302" t="s">
        <v>48</v>
      </c>
    </row>
    <row r="733" spans="1:22" s="172" customFormat="1" ht="20.25" customHeight="1">
      <c r="A733" s="263" t="str">
        <f t="shared" si="365"/>
        <v/>
      </c>
      <c r="B733" s="263"/>
      <c r="C733" s="264">
        <f t="shared" si="349"/>
        <v>732</v>
      </c>
      <c r="D733" s="277" t="s">
        <v>1315</v>
      </c>
      <c r="E733" s="293">
        <f t="shared" si="366"/>
        <v>731</v>
      </c>
      <c r="F733" s="267" t="s">
        <v>115</v>
      </c>
      <c r="G733" s="267"/>
      <c r="H733" s="268"/>
      <c r="I733" s="268"/>
      <c r="J733" s="269"/>
      <c r="K733" s="269"/>
      <c r="L733" s="269"/>
      <c r="M733" s="319">
        <v>4</v>
      </c>
      <c r="N733" s="296" t="s">
        <v>81</v>
      </c>
      <c r="O733" s="272">
        <v>4</v>
      </c>
      <c r="P733" s="296" t="s">
        <v>81</v>
      </c>
      <c r="Q733" s="273">
        <v>0.25</v>
      </c>
      <c r="R733" s="271" t="s">
        <v>112</v>
      </c>
      <c r="S733" s="290">
        <f t="shared" si="367"/>
        <v>1</v>
      </c>
      <c r="T733" s="275">
        <v>1</v>
      </c>
      <c r="U733" s="290">
        <f t="shared" si="336"/>
        <v>2</v>
      </c>
      <c r="V733" s="302" t="s">
        <v>48</v>
      </c>
    </row>
    <row r="734" spans="1:22" s="172" customFormat="1" ht="20.25" customHeight="1">
      <c r="A734" s="263">
        <f t="shared" si="365"/>
        <v>733</v>
      </c>
      <c r="B734" s="263" t="s">
        <v>1263</v>
      </c>
      <c r="C734" s="264">
        <f t="shared" si="349"/>
        <v>733</v>
      </c>
      <c r="D734" s="265" t="s">
        <v>1358</v>
      </c>
      <c r="E734" s="279">
        <f>C730</f>
        <v>729</v>
      </c>
      <c r="F734" s="267"/>
      <c r="G734" s="267"/>
      <c r="H734" s="268"/>
      <c r="I734" s="268"/>
      <c r="J734" s="269"/>
      <c r="K734" s="269"/>
      <c r="L734" s="269"/>
      <c r="M734" s="319"/>
      <c r="N734" s="271"/>
      <c r="O734" s="280"/>
      <c r="P734" s="271"/>
      <c r="Q734" s="281"/>
      <c r="R734" s="271"/>
      <c r="S734" s="312"/>
      <c r="T734" s="282"/>
      <c r="U734" s="312"/>
      <c r="V734" s="276"/>
    </row>
    <row r="735" spans="1:22" s="172" customFormat="1" ht="20.25" customHeight="1">
      <c r="A735" s="263" t="str">
        <f t="shared" si="365"/>
        <v/>
      </c>
      <c r="B735" s="263"/>
      <c r="C735" s="264">
        <f t="shared" si="349"/>
        <v>734</v>
      </c>
      <c r="D735" s="277" t="s">
        <v>1353</v>
      </c>
      <c r="E735" s="293"/>
      <c r="F735" s="267" t="s">
        <v>44</v>
      </c>
      <c r="G735" s="267"/>
      <c r="H735" s="317">
        <f>H723</f>
        <v>26</v>
      </c>
      <c r="I735" s="317" t="str">
        <f>I723</f>
        <v>nb</v>
      </c>
      <c r="J735" s="269"/>
      <c r="K735" s="269"/>
      <c r="L735" s="269"/>
      <c r="M735" s="319">
        <v>2</v>
      </c>
      <c r="N735" s="296" t="s">
        <v>81</v>
      </c>
      <c r="O735" s="272">
        <v>1</v>
      </c>
      <c r="P735" s="296" t="s">
        <v>81</v>
      </c>
      <c r="Q735" s="325">
        <v>4</v>
      </c>
      <c r="R735" s="271" t="s">
        <v>112</v>
      </c>
      <c r="S735" s="290">
        <f t="shared" ref="S735:S737" si="368">O735*Q735</f>
        <v>4</v>
      </c>
      <c r="T735" s="275">
        <v>1</v>
      </c>
      <c r="U735" s="290">
        <f t="shared" ref="U735:U798" si="369">ROUND(S735+T735,2)</f>
        <v>5</v>
      </c>
      <c r="V735" s="302" t="s">
        <v>48</v>
      </c>
    </row>
    <row r="736" spans="1:22" s="172" customFormat="1" ht="20.25" customHeight="1">
      <c r="A736" s="263" t="str">
        <f t="shared" si="365"/>
        <v/>
      </c>
      <c r="B736" s="263"/>
      <c r="C736" s="264">
        <f t="shared" si="349"/>
        <v>735</v>
      </c>
      <c r="D736" s="277" t="s">
        <v>1343</v>
      </c>
      <c r="E736" s="293">
        <f t="shared" ref="E736:E737" si="370">C735</f>
        <v>734</v>
      </c>
      <c r="F736" s="267" t="s">
        <v>44</v>
      </c>
      <c r="G736" s="267"/>
      <c r="H736" s="317">
        <f>H724</f>
        <v>2</v>
      </c>
      <c r="I736" s="317" t="str">
        <f>I724</f>
        <v>nb</v>
      </c>
      <c r="J736" s="269"/>
      <c r="K736" s="269"/>
      <c r="L736" s="269"/>
      <c r="M736" s="319">
        <v>2</v>
      </c>
      <c r="N736" s="296" t="s">
        <v>81</v>
      </c>
      <c r="O736" s="272">
        <v>1</v>
      </c>
      <c r="P736" s="296" t="s">
        <v>81</v>
      </c>
      <c r="Q736" s="325">
        <v>1</v>
      </c>
      <c r="R736" s="271" t="s">
        <v>112</v>
      </c>
      <c r="S736" s="290">
        <f t="shared" si="368"/>
        <v>1</v>
      </c>
      <c r="T736" s="275">
        <v>1</v>
      </c>
      <c r="U736" s="290">
        <f t="shared" si="369"/>
        <v>2</v>
      </c>
      <c r="V736" s="302" t="s">
        <v>48</v>
      </c>
    </row>
    <row r="737" spans="1:22" s="172" customFormat="1" ht="20.25" customHeight="1">
      <c r="A737" s="263" t="str">
        <f t="shared" si="365"/>
        <v/>
      </c>
      <c r="B737" s="263"/>
      <c r="C737" s="264">
        <f t="shared" si="349"/>
        <v>736</v>
      </c>
      <c r="D737" s="277" t="s">
        <v>1315</v>
      </c>
      <c r="E737" s="293">
        <f t="shared" si="370"/>
        <v>735</v>
      </c>
      <c r="F737" s="267" t="s">
        <v>44</v>
      </c>
      <c r="G737" s="267"/>
      <c r="H737" s="268"/>
      <c r="I737" s="268"/>
      <c r="J737" s="269"/>
      <c r="K737" s="269"/>
      <c r="L737" s="269"/>
      <c r="M737" s="319">
        <v>4</v>
      </c>
      <c r="N737" s="296" t="s">
        <v>81</v>
      </c>
      <c r="O737" s="272">
        <v>1</v>
      </c>
      <c r="P737" s="296" t="s">
        <v>81</v>
      </c>
      <c r="Q737" s="273">
        <v>1</v>
      </c>
      <c r="R737" s="271" t="s">
        <v>112</v>
      </c>
      <c r="S737" s="290">
        <f t="shared" si="368"/>
        <v>1</v>
      </c>
      <c r="T737" s="275">
        <v>1</v>
      </c>
      <c r="U737" s="290">
        <f t="shared" si="369"/>
        <v>2</v>
      </c>
      <c r="V737" s="302" t="s">
        <v>48</v>
      </c>
    </row>
    <row r="738" spans="1:22" s="172" customFormat="1" ht="20.25" customHeight="1">
      <c r="A738" s="263">
        <f t="shared" si="365"/>
        <v>737</v>
      </c>
      <c r="B738" s="263" t="s">
        <v>1263</v>
      </c>
      <c r="C738" s="264">
        <f t="shared" si="349"/>
        <v>737</v>
      </c>
      <c r="D738" s="265" t="s">
        <v>1359</v>
      </c>
      <c r="E738" s="279">
        <f>C734</f>
        <v>733</v>
      </c>
      <c r="F738" s="267"/>
      <c r="G738" s="267"/>
      <c r="H738" s="268"/>
      <c r="I738" s="268"/>
      <c r="J738" s="269"/>
      <c r="K738" s="269"/>
      <c r="L738" s="269"/>
      <c r="M738" s="319"/>
      <c r="N738" s="271"/>
      <c r="O738" s="280"/>
      <c r="P738" s="271"/>
      <c r="Q738" s="281"/>
      <c r="R738" s="271"/>
      <c r="S738" s="312"/>
      <c r="T738" s="282"/>
      <c r="U738" s="312"/>
      <c r="V738" s="276"/>
    </row>
    <row r="739" spans="1:22" s="172" customFormat="1" ht="20.25" customHeight="1">
      <c r="A739" s="263" t="str">
        <f t="shared" si="365"/>
        <v/>
      </c>
      <c r="B739" s="263"/>
      <c r="C739" s="264">
        <f t="shared" si="349"/>
        <v>738</v>
      </c>
      <c r="D739" s="277" t="s">
        <v>1353</v>
      </c>
      <c r="E739" s="293"/>
      <c r="F739" s="267" t="s">
        <v>44</v>
      </c>
      <c r="G739" s="267"/>
      <c r="H739" s="317">
        <f>H727</f>
        <v>26</v>
      </c>
      <c r="I739" s="317" t="str">
        <f>I727</f>
        <v>nb</v>
      </c>
      <c r="J739" s="269"/>
      <c r="K739" s="269"/>
      <c r="L739" s="269"/>
      <c r="M739" s="319">
        <v>2</v>
      </c>
      <c r="N739" s="296" t="s">
        <v>81</v>
      </c>
      <c r="O739" s="272">
        <v>0</v>
      </c>
      <c r="P739" s="296" t="s">
        <v>81</v>
      </c>
      <c r="Q739" s="325"/>
      <c r="R739" s="271" t="s">
        <v>112</v>
      </c>
      <c r="S739" s="290">
        <f t="shared" ref="S739:S741" si="371">O739*Q739</f>
        <v>0</v>
      </c>
      <c r="T739" s="275">
        <v>1</v>
      </c>
      <c r="U739" s="290">
        <f t="shared" si="369"/>
        <v>1</v>
      </c>
      <c r="V739" s="302" t="s">
        <v>48</v>
      </c>
    </row>
    <row r="740" spans="1:22" s="172" customFormat="1" ht="20.25" customHeight="1">
      <c r="A740" s="263" t="str">
        <f t="shared" si="365"/>
        <v/>
      </c>
      <c r="B740" s="263"/>
      <c r="C740" s="264">
        <f t="shared" si="349"/>
        <v>739</v>
      </c>
      <c r="D740" s="277" t="s">
        <v>1343</v>
      </c>
      <c r="E740" s="293">
        <f t="shared" ref="E740:E741" si="372">C739</f>
        <v>738</v>
      </c>
      <c r="F740" s="267" t="s">
        <v>44</v>
      </c>
      <c r="G740" s="267"/>
      <c r="H740" s="317">
        <f>H728</f>
        <v>2</v>
      </c>
      <c r="I740" s="317" t="str">
        <f>I728</f>
        <v>nb</v>
      </c>
      <c r="J740" s="269"/>
      <c r="K740" s="269"/>
      <c r="L740" s="269"/>
      <c r="M740" s="319">
        <v>2</v>
      </c>
      <c r="N740" s="296" t="s">
        <v>81</v>
      </c>
      <c r="O740" s="272">
        <v>0</v>
      </c>
      <c r="P740" s="296" t="s">
        <v>81</v>
      </c>
      <c r="Q740" s="325"/>
      <c r="R740" s="271" t="s">
        <v>112</v>
      </c>
      <c r="S740" s="290">
        <f t="shared" si="371"/>
        <v>0</v>
      </c>
      <c r="T740" s="275">
        <v>1</v>
      </c>
      <c r="U740" s="290">
        <f t="shared" si="369"/>
        <v>1</v>
      </c>
      <c r="V740" s="302" t="s">
        <v>48</v>
      </c>
    </row>
    <row r="741" spans="1:22" s="172" customFormat="1" ht="20.25" customHeight="1">
      <c r="A741" s="263" t="str">
        <f t="shared" si="365"/>
        <v/>
      </c>
      <c r="B741" s="263"/>
      <c r="C741" s="264">
        <f t="shared" si="349"/>
        <v>740</v>
      </c>
      <c r="D741" s="277" t="s">
        <v>1315</v>
      </c>
      <c r="E741" s="293">
        <f t="shared" si="372"/>
        <v>739</v>
      </c>
      <c r="F741" s="267" t="s">
        <v>44</v>
      </c>
      <c r="G741" s="267"/>
      <c r="H741" s="268"/>
      <c r="I741" s="268"/>
      <c r="J741" s="269"/>
      <c r="K741" s="269"/>
      <c r="L741" s="269"/>
      <c r="M741" s="319">
        <v>4</v>
      </c>
      <c r="N741" s="296" t="s">
        <v>81</v>
      </c>
      <c r="O741" s="272">
        <v>0</v>
      </c>
      <c r="P741" s="296" t="s">
        <v>81</v>
      </c>
      <c r="Q741" s="273"/>
      <c r="R741" s="271" t="s">
        <v>112</v>
      </c>
      <c r="S741" s="290">
        <f t="shared" si="371"/>
        <v>0</v>
      </c>
      <c r="T741" s="275">
        <v>1</v>
      </c>
      <c r="U741" s="290">
        <f t="shared" si="369"/>
        <v>1</v>
      </c>
      <c r="V741" s="302" t="s">
        <v>48</v>
      </c>
    </row>
    <row r="742" spans="1:22" s="172" customFormat="1" ht="20.25" customHeight="1">
      <c r="A742" s="263">
        <f t="shared" si="365"/>
        <v>741</v>
      </c>
      <c r="B742" s="263" t="s">
        <v>1263</v>
      </c>
      <c r="C742" s="264">
        <f t="shared" si="349"/>
        <v>741</v>
      </c>
      <c r="D742" s="265" t="s">
        <v>1360</v>
      </c>
      <c r="E742" s="279">
        <f>C738</f>
        <v>737</v>
      </c>
      <c r="F742" s="267"/>
      <c r="G742" s="267"/>
      <c r="H742" s="268"/>
      <c r="I742" s="268"/>
      <c r="J742" s="269"/>
      <c r="K742" s="269"/>
      <c r="L742" s="269"/>
      <c r="M742" s="319"/>
      <c r="N742" s="271"/>
      <c r="O742" s="280"/>
      <c r="P742" s="271"/>
      <c r="Q742" s="281"/>
      <c r="R742" s="271"/>
      <c r="S742" s="312"/>
      <c r="T742" s="282"/>
      <c r="U742" s="312"/>
      <c r="V742" s="276"/>
    </row>
    <row r="743" spans="1:22" s="172" customFormat="1" ht="20.25" customHeight="1">
      <c r="A743" s="263" t="str">
        <f t="shared" si="365"/>
        <v/>
      </c>
      <c r="B743" s="263"/>
      <c r="C743" s="264">
        <f t="shared" si="349"/>
        <v>742</v>
      </c>
      <c r="D743" s="277" t="s">
        <v>1353</v>
      </c>
      <c r="E743" s="293"/>
      <c r="F743" s="267" t="s">
        <v>121</v>
      </c>
      <c r="G743" s="267"/>
      <c r="H743" s="316">
        <v>18</v>
      </c>
      <c r="I743" s="316"/>
      <c r="J743" s="317">
        <f>J731</f>
        <v>3054</v>
      </c>
      <c r="K743" s="317" t="str">
        <f>K731</f>
        <v>mm</v>
      </c>
      <c r="L743" s="367" t="str">
        <f t="shared" ref="L743" si="373">J743&amp;" "&amp;K743</f>
        <v>3054 mm</v>
      </c>
      <c r="M743" s="319">
        <v>2</v>
      </c>
      <c r="N743" s="296" t="s">
        <v>81</v>
      </c>
      <c r="O743" s="297">
        <f>LEFT(L743,SEARCH(" ",L743,1)-1)*M743*0.001</f>
        <v>6.1080000000000005</v>
      </c>
      <c r="P743" s="296" t="s">
        <v>81</v>
      </c>
      <c r="Q743" s="325">
        <v>1</v>
      </c>
      <c r="R743" s="271" t="s">
        <v>112</v>
      </c>
      <c r="S743" s="290">
        <f t="shared" ref="S743:S745" si="374">O743*Q743</f>
        <v>6.1080000000000005</v>
      </c>
      <c r="T743" s="275">
        <v>1</v>
      </c>
      <c r="U743" s="290">
        <f t="shared" si="369"/>
        <v>7.11</v>
      </c>
      <c r="V743" s="302" t="s">
        <v>48</v>
      </c>
    </row>
    <row r="744" spans="1:22" s="172" customFormat="1" ht="20.25" customHeight="1">
      <c r="A744" s="263" t="str">
        <f t="shared" si="365"/>
        <v/>
      </c>
      <c r="B744" s="263"/>
      <c r="C744" s="264">
        <f t="shared" si="349"/>
        <v>743</v>
      </c>
      <c r="D744" s="277" t="s">
        <v>1343</v>
      </c>
      <c r="E744" s="293">
        <f t="shared" ref="E744:E745" si="375">C743</f>
        <v>742</v>
      </c>
      <c r="F744" s="267" t="s">
        <v>121</v>
      </c>
      <c r="G744" s="267"/>
      <c r="H744" s="316">
        <v>18</v>
      </c>
      <c r="I744" s="316"/>
      <c r="J744" s="308">
        <f>J732</f>
        <v>272</v>
      </c>
      <c r="K744" s="308" t="str">
        <f>K732</f>
        <v>mm</v>
      </c>
      <c r="L744" s="367" t="str">
        <f t="shared" ref="L744" si="376">J744&amp;" "&amp;K744</f>
        <v>272 mm</v>
      </c>
      <c r="M744" s="319">
        <v>2</v>
      </c>
      <c r="N744" s="296" t="s">
        <v>81</v>
      </c>
      <c r="O744" s="297">
        <f>LEFT(L744,SEARCH(" ",L744,1)-1)*M744*0.001</f>
        <v>0.54400000000000004</v>
      </c>
      <c r="P744" s="296" t="s">
        <v>81</v>
      </c>
      <c r="Q744" s="325">
        <v>0.5</v>
      </c>
      <c r="R744" s="271" t="s">
        <v>112</v>
      </c>
      <c r="S744" s="290">
        <f t="shared" si="374"/>
        <v>0.27200000000000002</v>
      </c>
      <c r="T744" s="275">
        <v>1</v>
      </c>
      <c r="U744" s="290">
        <f t="shared" si="369"/>
        <v>1.27</v>
      </c>
      <c r="V744" s="302" t="s">
        <v>48</v>
      </c>
    </row>
    <row r="745" spans="1:22" s="172" customFormat="1" ht="20.25" customHeight="1">
      <c r="A745" s="263" t="str">
        <f t="shared" si="365"/>
        <v/>
      </c>
      <c r="B745" s="263"/>
      <c r="C745" s="264">
        <f t="shared" si="349"/>
        <v>744</v>
      </c>
      <c r="D745" s="277" t="s">
        <v>1315</v>
      </c>
      <c r="E745" s="293">
        <f t="shared" si="375"/>
        <v>743</v>
      </c>
      <c r="F745" s="267" t="s">
        <v>121</v>
      </c>
      <c r="G745" s="267"/>
      <c r="H745" s="268"/>
      <c r="I745" s="268"/>
      <c r="J745" s="269"/>
      <c r="K745" s="269"/>
      <c r="L745" s="269"/>
      <c r="M745" s="319">
        <v>4</v>
      </c>
      <c r="N745" s="296" t="s">
        <v>81</v>
      </c>
      <c r="O745" s="272">
        <v>1</v>
      </c>
      <c r="P745" s="296" t="s">
        <v>81</v>
      </c>
      <c r="Q745" s="273">
        <v>1</v>
      </c>
      <c r="R745" s="271" t="s">
        <v>112</v>
      </c>
      <c r="S745" s="290">
        <f t="shared" si="374"/>
        <v>1</v>
      </c>
      <c r="T745" s="275">
        <v>1</v>
      </c>
      <c r="U745" s="290">
        <f t="shared" si="369"/>
        <v>2</v>
      </c>
      <c r="V745" s="302" t="s">
        <v>48</v>
      </c>
    </row>
    <row r="746" spans="1:22" s="172" customFormat="1" ht="20.25" customHeight="1">
      <c r="A746" s="263">
        <f t="shared" si="365"/>
        <v>745</v>
      </c>
      <c r="B746" s="263" t="s">
        <v>1263</v>
      </c>
      <c r="C746" s="264">
        <f t="shared" si="349"/>
        <v>745</v>
      </c>
      <c r="D746" s="265" t="s">
        <v>1361</v>
      </c>
      <c r="E746" s="279"/>
      <c r="F746" s="267"/>
      <c r="G746" s="267"/>
      <c r="H746" s="268"/>
      <c r="I746" s="268"/>
      <c r="J746" s="269"/>
      <c r="K746" s="269"/>
      <c r="L746" s="269"/>
      <c r="M746" s="319"/>
      <c r="N746" s="271"/>
      <c r="O746" s="280"/>
      <c r="P746" s="271"/>
      <c r="Q746" s="281"/>
      <c r="R746" s="271"/>
      <c r="S746" s="312"/>
      <c r="T746" s="282"/>
      <c r="U746" s="312"/>
      <c r="V746" s="276"/>
    </row>
    <row r="747" spans="1:22" s="172" customFormat="1" ht="20.25" customHeight="1">
      <c r="A747" s="263">
        <f t="shared" si="365"/>
        <v>746</v>
      </c>
      <c r="B747" s="263" t="s">
        <v>1263</v>
      </c>
      <c r="C747" s="264">
        <f t="shared" si="349"/>
        <v>746</v>
      </c>
      <c r="D747" s="265" t="s">
        <v>1362</v>
      </c>
      <c r="E747" s="279">
        <f>C746</f>
        <v>745</v>
      </c>
      <c r="F747" s="267"/>
      <c r="G747" s="267"/>
      <c r="H747" s="268"/>
      <c r="I747" s="268"/>
      <c r="J747" s="269"/>
      <c r="K747" s="269"/>
      <c r="L747" s="269"/>
      <c r="M747" s="319"/>
      <c r="N747" s="271"/>
      <c r="O747" s="280"/>
      <c r="P747" s="271"/>
      <c r="Q747" s="281"/>
      <c r="R747" s="271"/>
      <c r="S747" s="312"/>
      <c r="T747" s="282"/>
      <c r="U747" s="312"/>
      <c r="V747" s="276"/>
    </row>
    <row r="748" spans="1:22" s="172" customFormat="1" ht="20.25" customHeight="1">
      <c r="A748" s="263" t="str">
        <f t="shared" si="365"/>
        <v/>
      </c>
      <c r="B748" s="263"/>
      <c r="C748" s="264">
        <f t="shared" si="349"/>
        <v>747</v>
      </c>
      <c r="D748" s="277" t="s">
        <v>1363</v>
      </c>
      <c r="E748" s="293"/>
      <c r="F748" s="267"/>
      <c r="G748" s="267"/>
      <c r="H748" s="268"/>
      <c r="I748" s="268"/>
      <c r="J748" s="269"/>
      <c r="K748" s="269"/>
      <c r="L748" s="269"/>
      <c r="M748" s="319">
        <v>1</v>
      </c>
      <c r="N748" s="271" t="s">
        <v>84</v>
      </c>
      <c r="O748" s="272">
        <v>1</v>
      </c>
      <c r="P748" s="271" t="s">
        <v>84</v>
      </c>
      <c r="Q748" s="273">
        <v>4</v>
      </c>
      <c r="R748" s="271" t="s">
        <v>41</v>
      </c>
      <c r="S748" s="290">
        <f t="shared" ref="S748:S751" si="377">O748*Q748</f>
        <v>4</v>
      </c>
      <c r="T748" s="275">
        <v>0</v>
      </c>
      <c r="U748" s="290">
        <f t="shared" si="369"/>
        <v>4</v>
      </c>
      <c r="V748" s="276" t="s">
        <v>42</v>
      </c>
    </row>
    <row r="749" spans="1:22" s="172" customFormat="1" ht="20.25" customHeight="1">
      <c r="A749" s="263" t="str">
        <f t="shared" si="365"/>
        <v/>
      </c>
      <c r="B749" s="263"/>
      <c r="C749" s="264">
        <f t="shared" si="349"/>
        <v>748</v>
      </c>
      <c r="D749" s="277" t="s">
        <v>1364</v>
      </c>
      <c r="E749" s="293">
        <f t="shared" ref="E749:E751" si="378">C748</f>
        <v>747</v>
      </c>
      <c r="F749" s="267" t="s">
        <v>44</v>
      </c>
      <c r="G749" s="267"/>
      <c r="H749" s="316" t="s">
        <v>137</v>
      </c>
      <c r="I749" s="316"/>
      <c r="J749" s="316">
        <v>9</v>
      </c>
      <c r="K749" s="322" t="s">
        <v>79</v>
      </c>
      <c r="L749" s="367" t="str">
        <f t="shared" ref="L749:L751" si="379">J749&amp;" "&amp;K749</f>
        <v>9 rmt</v>
      </c>
      <c r="M749" s="319">
        <v>1</v>
      </c>
      <c r="N749" s="271" t="s">
        <v>84</v>
      </c>
      <c r="O749" s="297">
        <f>LEFT(L749,SEARCH(" ",L749,1)-1)*M749</f>
        <v>9</v>
      </c>
      <c r="P749" s="271" t="s">
        <v>139</v>
      </c>
      <c r="Q749" s="325">
        <v>0.25</v>
      </c>
      <c r="R749" s="271" t="s">
        <v>112</v>
      </c>
      <c r="S749" s="290">
        <f t="shared" si="377"/>
        <v>2.25</v>
      </c>
      <c r="T749" s="275">
        <v>1</v>
      </c>
      <c r="U749" s="290">
        <f t="shared" si="369"/>
        <v>3.25</v>
      </c>
      <c r="V749" s="302" t="s">
        <v>48</v>
      </c>
    </row>
    <row r="750" spans="1:22" s="172" customFormat="1" ht="20.25" customHeight="1">
      <c r="A750" s="263" t="str">
        <f t="shared" si="365"/>
        <v/>
      </c>
      <c r="B750" s="263"/>
      <c r="C750" s="264">
        <f t="shared" si="349"/>
        <v>749</v>
      </c>
      <c r="D750" s="277" t="s">
        <v>1365</v>
      </c>
      <c r="E750" s="293">
        <f t="shared" si="378"/>
        <v>748</v>
      </c>
      <c r="F750" s="267" t="s">
        <v>44</v>
      </c>
      <c r="G750" s="267"/>
      <c r="H750" s="317" t="str">
        <f>H749</f>
        <v>30/25</v>
      </c>
      <c r="I750" s="317"/>
      <c r="J750" s="316">
        <v>29</v>
      </c>
      <c r="K750" s="322" t="s">
        <v>79</v>
      </c>
      <c r="L750" s="367" t="str">
        <f t="shared" si="379"/>
        <v>29 rmt</v>
      </c>
      <c r="M750" s="326">
        <v>1</v>
      </c>
      <c r="N750" s="271" t="s">
        <v>84</v>
      </c>
      <c r="O750" s="297">
        <f t="shared" ref="O750:O751" si="380">LEFT(L750,SEARCH(" ",L750,1)-1)*M750</f>
        <v>29</v>
      </c>
      <c r="P750" s="271" t="s">
        <v>139</v>
      </c>
      <c r="Q750" s="325">
        <v>0.25</v>
      </c>
      <c r="R750" s="271" t="s">
        <v>112</v>
      </c>
      <c r="S750" s="290">
        <f t="shared" si="377"/>
        <v>7.25</v>
      </c>
      <c r="T750" s="275">
        <v>1</v>
      </c>
      <c r="U750" s="290">
        <f t="shared" si="369"/>
        <v>8.25</v>
      </c>
      <c r="V750" s="302" t="s">
        <v>48</v>
      </c>
    </row>
    <row r="751" spans="1:22" s="172" customFormat="1" ht="20.25" customHeight="1">
      <c r="A751" s="263" t="str">
        <f t="shared" si="365"/>
        <v/>
      </c>
      <c r="B751" s="263"/>
      <c r="C751" s="264">
        <f t="shared" si="349"/>
        <v>750</v>
      </c>
      <c r="D751" s="277" t="s">
        <v>1366</v>
      </c>
      <c r="E751" s="293">
        <f t="shared" si="378"/>
        <v>749</v>
      </c>
      <c r="F751" s="267" t="s">
        <v>44</v>
      </c>
      <c r="G751" s="267"/>
      <c r="H751" s="316">
        <v>25</v>
      </c>
      <c r="I751" s="316"/>
      <c r="J751" s="316">
        <v>10.5</v>
      </c>
      <c r="K751" s="322" t="s">
        <v>79</v>
      </c>
      <c r="L751" s="367" t="str">
        <f t="shared" si="379"/>
        <v>10.5 rmt</v>
      </c>
      <c r="M751" s="319">
        <v>1</v>
      </c>
      <c r="N751" s="271" t="s">
        <v>84</v>
      </c>
      <c r="O751" s="297">
        <f t="shared" si="380"/>
        <v>10.5</v>
      </c>
      <c r="P751" s="271" t="s">
        <v>139</v>
      </c>
      <c r="Q751" s="325">
        <v>0.25</v>
      </c>
      <c r="R751" s="271" t="s">
        <v>112</v>
      </c>
      <c r="S751" s="290">
        <f t="shared" si="377"/>
        <v>2.625</v>
      </c>
      <c r="T751" s="275">
        <v>1</v>
      </c>
      <c r="U751" s="290">
        <f t="shared" si="369"/>
        <v>3.63</v>
      </c>
      <c r="V751" s="302" t="s">
        <v>48</v>
      </c>
    </row>
    <row r="752" spans="1:22" s="172" customFormat="1" ht="20.25" customHeight="1">
      <c r="A752" s="263">
        <f t="shared" si="365"/>
        <v>751</v>
      </c>
      <c r="B752" s="263" t="s">
        <v>1263</v>
      </c>
      <c r="C752" s="264">
        <f t="shared" si="349"/>
        <v>751</v>
      </c>
      <c r="D752" s="265" t="s">
        <v>1367</v>
      </c>
      <c r="E752" s="279">
        <f>C747</f>
        <v>746</v>
      </c>
      <c r="F752" s="267"/>
      <c r="G752" s="267"/>
      <c r="H752" s="268"/>
      <c r="I752" s="268"/>
      <c r="J752" s="269"/>
      <c r="K752" s="269"/>
      <c r="L752" s="269"/>
      <c r="M752" s="319"/>
      <c r="N752" s="271"/>
      <c r="O752" s="280"/>
      <c r="P752" s="271"/>
      <c r="Q752" s="281"/>
      <c r="R752" s="271"/>
      <c r="S752" s="312"/>
      <c r="T752" s="282"/>
      <c r="U752" s="312"/>
      <c r="V752" s="276"/>
    </row>
    <row r="753" spans="1:22" s="172" customFormat="1" ht="20.25" customHeight="1">
      <c r="A753" s="263" t="str">
        <f t="shared" si="365"/>
        <v/>
      </c>
      <c r="B753" s="263"/>
      <c r="C753" s="264">
        <f t="shared" si="349"/>
        <v>752</v>
      </c>
      <c r="D753" s="277" t="s">
        <v>1368</v>
      </c>
      <c r="E753" s="293"/>
      <c r="F753" s="267" t="s">
        <v>52</v>
      </c>
      <c r="G753" s="267"/>
      <c r="H753" s="308" t="str">
        <f t="shared" ref="H753:M755" si="381">H749</f>
        <v>30/25</v>
      </c>
      <c r="I753" s="308"/>
      <c r="J753" s="308">
        <f t="shared" ref="J753:K753" si="382">J749</f>
        <v>9</v>
      </c>
      <c r="K753" s="308" t="str">
        <f t="shared" si="382"/>
        <v>rmt</v>
      </c>
      <c r="L753" s="367" t="str">
        <f t="shared" ref="L753" si="383">J753&amp;" "&amp;K753</f>
        <v>9 rmt</v>
      </c>
      <c r="M753" s="326">
        <f t="shared" si="381"/>
        <v>1</v>
      </c>
      <c r="N753" s="271" t="s">
        <v>81</v>
      </c>
      <c r="O753" s="297">
        <f t="shared" ref="O753:O755" si="384">LEFT(L753,SEARCH(" ",L753,1)-1)*M753</f>
        <v>9</v>
      </c>
      <c r="P753" s="271" t="s">
        <v>139</v>
      </c>
      <c r="Q753" s="325">
        <v>0.5</v>
      </c>
      <c r="R753" s="271" t="s">
        <v>112</v>
      </c>
      <c r="S753" s="290">
        <f t="shared" ref="S753:S756" si="385">O753*Q753</f>
        <v>4.5</v>
      </c>
      <c r="T753" s="275">
        <v>1</v>
      </c>
      <c r="U753" s="290">
        <f t="shared" si="369"/>
        <v>5.5</v>
      </c>
      <c r="V753" s="276" t="s">
        <v>48</v>
      </c>
    </row>
    <row r="754" spans="1:22" s="172" customFormat="1" ht="20.25" customHeight="1">
      <c r="A754" s="263" t="str">
        <f t="shared" si="365"/>
        <v/>
      </c>
      <c r="B754" s="263"/>
      <c r="C754" s="264">
        <f t="shared" si="349"/>
        <v>753</v>
      </c>
      <c r="D754" s="277" t="s">
        <v>1369</v>
      </c>
      <c r="E754" s="293">
        <f t="shared" ref="E754:E756" si="386">C753</f>
        <v>752</v>
      </c>
      <c r="F754" s="267" t="s">
        <v>52</v>
      </c>
      <c r="G754" s="267"/>
      <c r="H754" s="308" t="str">
        <f t="shared" si="381"/>
        <v>30/25</v>
      </c>
      <c r="I754" s="308"/>
      <c r="J754" s="308">
        <f t="shared" ref="J754:K754" si="387">J750</f>
        <v>29</v>
      </c>
      <c r="K754" s="308" t="str">
        <f t="shared" si="387"/>
        <v>rmt</v>
      </c>
      <c r="L754" s="367" t="str">
        <f t="shared" ref="L754" si="388">J754&amp;" "&amp;K754</f>
        <v>29 rmt</v>
      </c>
      <c r="M754" s="326">
        <f t="shared" si="381"/>
        <v>1</v>
      </c>
      <c r="N754" s="271" t="s">
        <v>81</v>
      </c>
      <c r="O754" s="297">
        <f t="shared" si="384"/>
        <v>29</v>
      </c>
      <c r="P754" s="271" t="s">
        <v>139</v>
      </c>
      <c r="Q754" s="325">
        <v>0.5</v>
      </c>
      <c r="R754" s="271" t="s">
        <v>112</v>
      </c>
      <c r="S754" s="290">
        <f t="shared" si="385"/>
        <v>14.5</v>
      </c>
      <c r="T754" s="275">
        <v>1</v>
      </c>
      <c r="U754" s="290">
        <f t="shared" si="369"/>
        <v>15.5</v>
      </c>
      <c r="V754" s="276" t="s">
        <v>48</v>
      </c>
    </row>
    <row r="755" spans="1:22" s="172" customFormat="1" ht="20.25" customHeight="1">
      <c r="A755" s="263" t="str">
        <f t="shared" si="365"/>
        <v/>
      </c>
      <c r="B755" s="263"/>
      <c r="C755" s="264">
        <f t="shared" si="349"/>
        <v>754</v>
      </c>
      <c r="D755" s="277" t="s">
        <v>1370</v>
      </c>
      <c r="E755" s="293">
        <f t="shared" si="386"/>
        <v>753</v>
      </c>
      <c r="F755" s="267" t="s">
        <v>52</v>
      </c>
      <c r="G755" s="267"/>
      <c r="H755" s="308">
        <f t="shared" si="381"/>
        <v>25</v>
      </c>
      <c r="I755" s="308"/>
      <c r="J755" s="308">
        <f t="shared" ref="J755:K755" si="389">J751</f>
        <v>10.5</v>
      </c>
      <c r="K755" s="308" t="str">
        <f t="shared" si="389"/>
        <v>rmt</v>
      </c>
      <c r="L755" s="367" t="str">
        <f t="shared" ref="L755" si="390">J755&amp;" "&amp;K755</f>
        <v>10.5 rmt</v>
      </c>
      <c r="M755" s="326">
        <f t="shared" si="381"/>
        <v>1</v>
      </c>
      <c r="N755" s="271" t="s">
        <v>81</v>
      </c>
      <c r="O755" s="297">
        <f t="shared" si="384"/>
        <v>10.5</v>
      </c>
      <c r="P755" s="271" t="s">
        <v>139</v>
      </c>
      <c r="Q755" s="324">
        <f>VLOOKUP(H755,BM!$B$3:$Y$62,3,FALSE)</f>
        <v>0.25</v>
      </c>
      <c r="R755" s="271" t="s">
        <v>112</v>
      </c>
      <c r="S755" s="290">
        <f t="shared" si="385"/>
        <v>2.625</v>
      </c>
      <c r="T755" s="275">
        <v>1</v>
      </c>
      <c r="U755" s="290">
        <f t="shared" si="369"/>
        <v>3.63</v>
      </c>
      <c r="V755" s="276" t="s">
        <v>48</v>
      </c>
    </row>
    <row r="756" spans="1:22" s="172" customFormat="1" ht="20.25" customHeight="1">
      <c r="A756" s="263" t="str">
        <f t="shared" si="365"/>
        <v/>
      </c>
      <c r="B756" s="263"/>
      <c r="C756" s="264">
        <f t="shared" si="349"/>
        <v>755</v>
      </c>
      <c r="D756" s="277" t="s">
        <v>1371</v>
      </c>
      <c r="E756" s="293">
        <f t="shared" si="386"/>
        <v>754</v>
      </c>
      <c r="F756" s="267" t="s">
        <v>149</v>
      </c>
      <c r="G756" s="267"/>
      <c r="H756" s="316">
        <v>25</v>
      </c>
      <c r="I756" s="316"/>
      <c r="J756" s="269"/>
      <c r="K756" s="269"/>
      <c r="L756" s="269"/>
      <c r="M756" s="319"/>
      <c r="N756" s="271"/>
      <c r="O756" s="327">
        <f>O753+O754+O755</f>
        <v>48.5</v>
      </c>
      <c r="P756" s="271" t="s">
        <v>139</v>
      </c>
      <c r="Q756" s="324">
        <f>VLOOKUP(H756,BM!$B$3:$Y$62,4,FALSE)</f>
        <v>0.15</v>
      </c>
      <c r="R756" s="271" t="s">
        <v>112</v>
      </c>
      <c r="S756" s="290">
        <f t="shared" si="385"/>
        <v>7.2749999999999995</v>
      </c>
      <c r="T756" s="275">
        <v>1</v>
      </c>
      <c r="U756" s="290">
        <f t="shared" si="369"/>
        <v>8.2799999999999994</v>
      </c>
      <c r="V756" s="276" t="s">
        <v>48</v>
      </c>
    </row>
    <row r="757" spans="1:22" s="172" customFormat="1" ht="20.25" customHeight="1">
      <c r="A757" s="263">
        <f t="shared" si="365"/>
        <v>756</v>
      </c>
      <c r="B757" s="263" t="s">
        <v>1263</v>
      </c>
      <c r="C757" s="264">
        <f t="shared" si="349"/>
        <v>756</v>
      </c>
      <c r="D757" s="265" t="s">
        <v>1372</v>
      </c>
      <c r="E757" s="279">
        <f>C752</f>
        <v>751</v>
      </c>
      <c r="F757" s="267"/>
      <c r="G757" s="267"/>
      <c r="H757" s="268"/>
      <c r="I757" s="268"/>
      <c r="J757" s="269"/>
      <c r="K757" s="269"/>
      <c r="L757" s="269"/>
      <c r="M757" s="319"/>
      <c r="N757" s="271"/>
      <c r="O757" s="280"/>
      <c r="P757" s="271"/>
      <c r="Q757" s="281"/>
      <c r="R757" s="271"/>
      <c r="S757" s="312"/>
      <c r="T757" s="282"/>
      <c r="U757" s="312"/>
      <c r="V757" s="276"/>
    </row>
    <row r="758" spans="1:22" s="172" customFormat="1" ht="20.25" customHeight="1">
      <c r="A758" s="263" t="str">
        <f t="shared" si="365"/>
        <v/>
      </c>
      <c r="B758" s="263"/>
      <c r="C758" s="264">
        <f t="shared" si="349"/>
        <v>757</v>
      </c>
      <c r="D758" s="277" t="s">
        <v>1373</v>
      </c>
      <c r="E758" s="293"/>
      <c r="F758" s="267" t="s">
        <v>152</v>
      </c>
      <c r="G758" s="267"/>
      <c r="H758" s="268"/>
      <c r="I758" s="268"/>
      <c r="J758" s="269"/>
      <c r="K758" s="269"/>
      <c r="L758" s="269"/>
      <c r="M758" s="319">
        <v>1</v>
      </c>
      <c r="N758" s="271" t="s">
        <v>84</v>
      </c>
      <c r="O758" s="272">
        <v>1</v>
      </c>
      <c r="P758" s="296" t="s">
        <v>81</v>
      </c>
      <c r="Q758" s="273">
        <v>8</v>
      </c>
      <c r="R758" s="271" t="s">
        <v>112</v>
      </c>
      <c r="S758" s="290">
        <f t="shared" ref="S758:S761" si="391">O758*Q758</f>
        <v>8</v>
      </c>
      <c r="T758" s="275">
        <v>1</v>
      </c>
      <c r="U758" s="290">
        <f t="shared" si="369"/>
        <v>9</v>
      </c>
      <c r="V758" s="276" t="s">
        <v>48</v>
      </c>
    </row>
    <row r="759" spans="1:22" s="172" customFormat="1" ht="20.25" customHeight="1">
      <c r="A759" s="263" t="str">
        <f t="shared" si="365"/>
        <v/>
      </c>
      <c r="B759" s="263"/>
      <c r="C759" s="264">
        <f t="shared" si="349"/>
        <v>758</v>
      </c>
      <c r="D759" s="277" t="s">
        <v>1374</v>
      </c>
      <c r="E759" s="293">
        <f t="shared" ref="E759:E761" si="392">C758</f>
        <v>757</v>
      </c>
      <c r="F759" s="267" t="s">
        <v>115</v>
      </c>
      <c r="G759" s="267"/>
      <c r="H759" s="316">
        <v>18</v>
      </c>
      <c r="I759" s="316"/>
      <c r="J759" s="316"/>
      <c r="K759" s="316"/>
      <c r="L759" s="367" t="str">
        <f>J759&amp;" "&amp;K759</f>
        <v xml:space="preserve"> </v>
      </c>
      <c r="M759" s="319">
        <v>1</v>
      </c>
      <c r="N759" s="271" t="s">
        <v>84</v>
      </c>
      <c r="O759" s="318">
        <v>4</v>
      </c>
      <c r="P759" s="296" t="s">
        <v>81</v>
      </c>
      <c r="Q759" s="299">
        <f>VLOOKUP(H759,BM!$B$3:$Y$62,22,FALSE)</f>
        <v>3.4</v>
      </c>
      <c r="R759" s="271" t="s">
        <v>112</v>
      </c>
      <c r="S759" s="290">
        <f t="shared" si="391"/>
        <v>13.6</v>
      </c>
      <c r="T759" s="275">
        <v>1</v>
      </c>
      <c r="U759" s="290">
        <f t="shared" si="369"/>
        <v>14.6</v>
      </c>
      <c r="V759" s="276" t="s">
        <v>48</v>
      </c>
    </row>
    <row r="760" spans="1:22" s="172" customFormat="1" ht="20.25" customHeight="1">
      <c r="A760" s="263" t="str">
        <f t="shared" si="365"/>
        <v/>
      </c>
      <c r="B760" s="263"/>
      <c r="C760" s="264">
        <f t="shared" si="349"/>
        <v>759</v>
      </c>
      <c r="D760" s="277" t="s">
        <v>1375</v>
      </c>
      <c r="E760" s="293">
        <f t="shared" si="392"/>
        <v>758</v>
      </c>
      <c r="F760" s="267" t="s">
        <v>152</v>
      </c>
      <c r="G760" s="267"/>
      <c r="H760" s="268"/>
      <c r="I760" s="268"/>
      <c r="J760" s="269"/>
      <c r="K760" s="269"/>
      <c r="L760" s="269"/>
      <c r="M760" s="319">
        <v>1</v>
      </c>
      <c r="N760" s="271" t="s">
        <v>84</v>
      </c>
      <c r="O760" s="272">
        <v>1</v>
      </c>
      <c r="P760" s="296" t="s">
        <v>81</v>
      </c>
      <c r="Q760" s="273">
        <v>8</v>
      </c>
      <c r="R760" s="271" t="s">
        <v>112</v>
      </c>
      <c r="S760" s="290">
        <f t="shared" si="391"/>
        <v>8</v>
      </c>
      <c r="T760" s="275">
        <v>1</v>
      </c>
      <c r="U760" s="290">
        <f t="shared" si="369"/>
        <v>9</v>
      </c>
      <c r="V760" s="276" t="s">
        <v>48</v>
      </c>
    </row>
    <row r="761" spans="1:22" s="172" customFormat="1" ht="20.25" customHeight="1">
      <c r="A761" s="263" t="str">
        <f t="shared" si="365"/>
        <v/>
      </c>
      <c r="B761" s="263"/>
      <c r="C761" s="264">
        <f t="shared" si="349"/>
        <v>760</v>
      </c>
      <c r="D761" s="277" t="s">
        <v>1376</v>
      </c>
      <c r="E761" s="293">
        <f t="shared" si="392"/>
        <v>759</v>
      </c>
      <c r="F761" s="267" t="s">
        <v>156</v>
      </c>
      <c r="G761" s="267"/>
      <c r="H761" s="316">
        <v>18</v>
      </c>
      <c r="I761" s="316"/>
      <c r="J761" s="316"/>
      <c r="K761" s="316"/>
      <c r="L761" s="367" t="str">
        <f>J761&amp;" "&amp;K761</f>
        <v xml:space="preserve"> </v>
      </c>
      <c r="M761" s="319">
        <v>1</v>
      </c>
      <c r="N761" s="271" t="s">
        <v>84</v>
      </c>
      <c r="O761" s="318">
        <v>24.8</v>
      </c>
      <c r="P761" s="296" t="s">
        <v>81</v>
      </c>
      <c r="Q761" s="299">
        <f>VLOOKUP(H761,BM!$B$3:$Y$62,22,FALSE)</f>
        <v>3.4</v>
      </c>
      <c r="R761" s="271" t="s">
        <v>112</v>
      </c>
      <c r="S761" s="290">
        <f t="shared" si="391"/>
        <v>84.32</v>
      </c>
      <c r="T761" s="275">
        <v>1</v>
      </c>
      <c r="U761" s="290">
        <f t="shared" si="369"/>
        <v>85.32</v>
      </c>
      <c r="V761" s="276" t="s">
        <v>48</v>
      </c>
    </row>
    <row r="762" spans="1:22" s="172" customFormat="1" ht="20.25" customHeight="1">
      <c r="A762" s="263">
        <f t="shared" si="365"/>
        <v>761</v>
      </c>
      <c r="B762" s="263" t="s">
        <v>1263</v>
      </c>
      <c r="C762" s="264">
        <f t="shared" si="349"/>
        <v>761</v>
      </c>
      <c r="D762" s="265" t="s">
        <v>1377</v>
      </c>
      <c r="E762" s="279">
        <f>C757</f>
        <v>756</v>
      </c>
      <c r="F762" s="267"/>
      <c r="G762" s="267"/>
      <c r="H762" s="268"/>
      <c r="I762" s="268"/>
      <c r="J762" s="269"/>
      <c r="K762" s="269"/>
      <c r="L762" s="269"/>
      <c r="M762" s="319"/>
      <c r="N762" s="271"/>
      <c r="O762" s="280"/>
      <c r="P762" s="271"/>
      <c r="Q762" s="281"/>
      <c r="R762" s="271"/>
      <c r="S762" s="312"/>
      <c r="T762" s="282"/>
      <c r="U762" s="312"/>
      <c r="V762" s="276"/>
    </row>
    <row r="763" spans="1:22" s="172" customFormat="1" ht="20.25" customHeight="1">
      <c r="A763" s="263" t="str">
        <f t="shared" si="365"/>
        <v/>
      </c>
      <c r="B763" s="263"/>
      <c r="C763" s="264">
        <f t="shared" si="349"/>
        <v>762</v>
      </c>
      <c r="D763" s="277" t="s">
        <v>1378</v>
      </c>
      <c r="E763" s="293"/>
      <c r="F763" s="267" t="s">
        <v>159</v>
      </c>
      <c r="G763" s="267"/>
      <c r="H763" s="268"/>
      <c r="I763" s="268"/>
      <c r="J763" s="269"/>
      <c r="K763" s="269"/>
      <c r="L763" s="269"/>
      <c r="M763" s="319">
        <v>1</v>
      </c>
      <c r="N763" s="271" t="s">
        <v>84</v>
      </c>
      <c r="O763" s="272">
        <v>1</v>
      </c>
      <c r="P763" s="271" t="s">
        <v>84</v>
      </c>
      <c r="Q763" s="273">
        <v>4</v>
      </c>
      <c r="R763" s="271" t="s">
        <v>41</v>
      </c>
      <c r="S763" s="290">
        <f t="shared" ref="S763:S776" si="393">O763*Q763</f>
        <v>4</v>
      </c>
      <c r="T763" s="275"/>
      <c r="U763" s="290">
        <f t="shared" si="369"/>
        <v>4</v>
      </c>
      <c r="V763" s="276" t="s">
        <v>42</v>
      </c>
    </row>
    <row r="764" spans="1:22" s="172" customFormat="1" ht="20.25" customHeight="1">
      <c r="A764" s="263" t="str">
        <f t="shared" si="365"/>
        <v/>
      </c>
      <c r="B764" s="263"/>
      <c r="C764" s="264">
        <f t="shared" si="349"/>
        <v>763</v>
      </c>
      <c r="D764" s="277" t="s">
        <v>1379</v>
      </c>
      <c r="E764" s="293">
        <f t="shared" ref="E764:E776" si="394">C763</f>
        <v>762</v>
      </c>
      <c r="F764" s="267" t="s">
        <v>44</v>
      </c>
      <c r="G764" s="267"/>
      <c r="H764" s="268"/>
      <c r="I764" s="268"/>
      <c r="J764" s="269"/>
      <c r="K764" s="269"/>
      <c r="L764" s="269"/>
      <c r="M764" s="319">
        <v>6</v>
      </c>
      <c r="N764" s="271" t="s">
        <v>81</v>
      </c>
      <c r="O764" s="272">
        <v>6</v>
      </c>
      <c r="P764" s="271" t="s">
        <v>81</v>
      </c>
      <c r="Q764" s="273">
        <v>0.5</v>
      </c>
      <c r="R764" s="271" t="s">
        <v>162</v>
      </c>
      <c r="S764" s="290">
        <f t="shared" si="393"/>
        <v>3</v>
      </c>
      <c r="T764" s="275"/>
      <c r="U764" s="290">
        <f t="shared" si="369"/>
        <v>3</v>
      </c>
      <c r="V764" s="276" t="s">
        <v>48</v>
      </c>
    </row>
    <row r="765" spans="1:22" s="172" customFormat="1" ht="20.25" customHeight="1">
      <c r="A765" s="263" t="str">
        <f t="shared" si="365"/>
        <v/>
      </c>
      <c r="B765" s="263"/>
      <c r="C765" s="264">
        <f t="shared" si="349"/>
        <v>764</v>
      </c>
      <c r="D765" s="277" t="s">
        <v>1380</v>
      </c>
      <c r="E765" s="293">
        <f t="shared" si="394"/>
        <v>763</v>
      </c>
      <c r="F765" s="267" t="s">
        <v>44</v>
      </c>
      <c r="G765" s="267"/>
      <c r="H765" s="316">
        <v>16</v>
      </c>
      <c r="I765" s="316"/>
      <c r="J765" s="269"/>
      <c r="K765" s="269"/>
      <c r="L765" s="269"/>
      <c r="M765" s="319">
        <v>4</v>
      </c>
      <c r="N765" s="271" t="s">
        <v>81</v>
      </c>
      <c r="O765" s="327">
        <f>M765</f>
        <v>4</v>
      </c>
      <c r="P765" s="271" t="s">
        <v>81</v>
      </c>
      <c r="Q765" s="273">
        <v>0.5</v>
      </c>
      <c r="R765" s="271" t="s">
        <v>162</v>
      </c>
      <c r="S765" s="290">
        <f t="shared" si="393"/>
        <v>2</v>
      </c>
      <c r="T765" s="275"/>
      <c r="U765" s="290">
        <f t="shared" si="369"/>
        <v>2</v>
      </c>
      <c r="V765" s="276" t="s">
        <v>48</v>
      </c>
    </row>
    <row r="766" spans="1:22" s="172" customFormat="1" ht="20.25" customHeight="1">
      <c r="A766" s="263" t="str">
        <f t="shared" si="365"/>
        <v/>
      </c>
      <c r="B766" s="263"/>
      <c r="C766" s="264">
        <f t="shared" si="349"/>
        <v>765</v>
      </c>
      <c r="D766" s="277" t="s">
        <v>1381</v>
      </c>
      <c r="E766" s="293">
        <f t="shared" si="394"/>
        <v>764</v>
      </c>
      <c r="F766" s="267" t="s">
        <v>44</v>
      </c>
      <c r="G766" s="267"/>
      <c r="H766" s="316">
        <v>16</v>
      </c>
      <c r="I766" s="316"/>
      <c r="J766" s="269"/>
      <c r="K766" s="269"/>
      <c r="L766" s="269"/>
      <c r="M766" s="319">
        <v>4</v>
      </c>
      <c r="N766" s="271" t="s">
        <v>81</v>
      </c>
      <c r="O766" s="327">
        <f>M766</f>
        <v>4</v>
      </c>
      <c r="P766" s="271" t="s">
        <v>81</v>
      </c>
      <c r="Q766" s="273">
        <v>0.5</v>
      </c>
      <c r="R766" s="271" t="s">
        <v>162</v>
      </c>
      <c r="S766" s="290">
        <f t="shared" si="393"/>
        <v>2</v>
      </c>
      <c r="T766" s="275"/>
      <c r="U766" s="290">
        <f t="shared" si="369"/>
        <v>2</v>
      </c>
      <c r="V766" s="276" t="s">
        <v>48</v>
      </c>
    </row>
    <row r="767" spans="1:22" s="172" customFormat="1" ht="20.25" customHeight="1">
      <c r="A767" s="263" t="str">
        <f t="shared" si="365"/>
        <v/>
      </c>
      <c r="B767" s="263"/>
      <c r="C767" s="264">
        <f t="shared" si="349"/>
        <v>766</v>
      </c>
      <c r="D767" s="277" t="s">
        <v>1382</v>
      </c>
      <c r="E767" s="293">
        <f t="shared" si="394"/>
        <v>765</v>
      </c>
      <c r="F767" s="267" t="s">
        <v>44</v>
      </c>
      <c r="G767" s="267"/>
      <c r="H767" s="316">
        <v>30</v>
      </c>
      <c r="I767" s="316"/>
      <c r="J767" s="269"/>
      <c r="K767" s="269"/>
      <c r="L767" s="269"/>
      <c r="M767" s="319">
        <v>2</v>
      </c>
      <c r="N767" s="271" t="s">
        <v>81</v>
      </c>
      <c r="O767" s="327">
        <f>M767</f>
        <v>2</v>
      </c>
      <c r="P767" s="271" t="s">
        <v>81</v>
      </c>
      <c r="Q767" s="273">
        <v>0.5</v>
      </c>
      <c r="R767" s="271" t="s">
        <v>162</v>
      </c>
      <c r="S767" s="290">
        <f t="shared" si="393"/>
        <v>1</v>
      </c>
      <c r="T767" s="275"/>
      <c r="U767" s="290">
        <f t="shared" si="369"/>
        <v>1</v>
      </c>
      <c r="V767" s="276" t="s">
        <v>48</v>
      </c>
    </row>
    <row r="768" spans="1:22" s="172" customFormat="1" ht="20.25" customHeight="1">
      <c r="A768" s="263" t="str">
        <f t="shared" si="365"/>
        <v/>
      </c>
      <c r="B768" s="263"/>
      <c r="C768" s="264">
        <f t="shared" si="349"/>
        <v>767</v>
      </c>
      <c r="D768" s="277" t="s">
        <v>1383</v>
      </c>
      <c r="E768" s="293">
        <f t="shared" si="394"/>
        <v>766</v>
      </c>
      <c r="F768" s="267" t="s">
        <v>52</v>
      </c>
      <c r="G768" s="267"/>
      <c r="H768" s="268"/>
      <c r="I768" s="268"/>
      <c r="J768" s="269"/>
      <c r="K768" s="269"/>
      <c r="L768" s="269"/>
      <c r="M768" s="319">
        <v>6</v>
      </c>
      <c r="N768" s="271" t="s">
        <v>81</v>
      </c>
      <c r="O768" s="327">
        <f>M768</f>
        <v>6</v>
      </c>
      <c r="P768" s="271" t="s">
        <v>81</v>
      </c>
      <c r="Q768" s="273">
        <v>0.5</v>
      </c>
      <c r="R768" s="271" t="s">
        <v>162</v>
      </c>
      <c r="S768" s="290">
        <f t="shared" si="393"/>
        <v>3</v>
      </c>
      <c r="T768" s="275"/>
      <c r="U768" s="290">
        <f t="shared" si="369"/>
        <v>3</v>
      </c>
      <c r="V768" s="276" t="s">
        <v>48</v>
      </c>
    </row>
    <row r="769" spans="1:22" s="172" customFormat="1" ht="20.25" customHeight="1">
      <c r="A769" s="263" t="str">
        <f t="shared" si="365"/>
        <v/>
      </c>
      <c r="B769" s="263"/>
      <c r="C769" s="264">
        <f t="shared" si="349"/>
        <v>768</v>
      </c>
      <c r="D769" s="277" t="s">
        <v>1384</v>
      </c>
      <c r="E769" s="293">
        <f t="shared" si="394"/>
        <v>767</v>
      </c>
      <c r="F769" s="267" t="s">
        <v>52</v>
      </c>
      <c r="G769" s="267"/>
      <c r="H769" s="268"/>
      <c r="I769" s="268"/>
      <c r="J769" s="269"/>
      <c r="K769" s="269"/>
      <c r="L769" s="269"/>
      <c r="M769" s="319">
        <v>4</v>
      </c>
      <c r="N769" s="271" t="s">
        <v>81</v>
      </c>
      <c r="O769" s="327">
        <f t="shared" ref="O769:O776" si="395">M769</f>
        <v>4</v>
      </c>
      <c r="P769" s="271" t="s">
        <v>81</v>
      </c>
      <c r="Q769" s="273">
        <v>0.5</v>
      </c>
      <c r="R769" s="271" t="s">
        <v>162</v>
      </c>
      <c r="S769" s="290">
        <f t="shared" si="393"/>
        <v>2</v>
      </c>
      <c r="T769" s="275"/>
      <c r="U769" s="290">
        <f t="shared" si="369"/>
        <v>2</v>
      </c>
      <c r="V769" s="276" t="s">
        <v>48</v>
      </c>
    </row>
    <row r="770" spans="1:22" s="172" customFormat="1" ht="20.25" customHeight="1">
      <c r="A770" s="263" t="str">
        <f t="shared" si="365"/>
        <v/>
      </c>
      <c r="B770" s="263"/>
      <c r="C770" s="264">
        <f t="shared" si="349"/>
        <v>769</v>
      </c>
      <c r="D770" s="277" t="s">
        <v>1385</v>
      </c>
      <c r="E770" s="293">
        <f t="shared" si="394"/>
        <v>768</v>
      </c>
      <c r="F770" s="267" t="s">
        <v>44</v>
      </c>
      <c r="G770" s="267"/>
      <c r="H770" s="268"/>
      <c r="I770" s="268"/>
      <c r="J770" s="269"/>
      <c r="K770" s="269"/>
      <c r="L770" s="269"/>
      <c r="M770" s="319">
        <v>6</v>
      </c>
      <c r="N770" s="271" t="s">
        <v>81</v>
      </c>
      <c r="O770" s="327">
        <f t="shared" si="395"/>
        <v>6</v>
      </c>
      <c r="P770" s="271" t="s">
        <v>81</v>
      </c>
      <c r="Q770" s="273">
        <v>0.5</v>
      </c>
      <c r="R770" s="271" t="s">
        <v>162</v>
      </c>
      <c r="S770" s="290">
        <f t="shared" si="393"/>
        <v>3</v>
      </c>
      <c r="T770" s="275"/>
      <c r="U770" s="290">
        <f t="shared" si="369"/>
        <v>3</v>
      </c>
      <c r="V770" s="276" t="s">
        <v>48</v>
      </c>
    </row>
    <row r="771" spans="1:22" s="172" customFormat="1" ht="20.25" customHeight="1">
      <c r="A771" s="263" t="str">
        <f t="shared" si="365"/>
        <v/>
      </c>
      <c r="B771" s="263"/>
      <c r="C771" s="264">
        <f t="shared" si="349"/>
        <v>770</v>
      </c>
      <c r="D771" s="277" t="s">
        <v>1386</v>
      </c>
      <c r="E771" s="293">
        <f t="shared" si="394"/>
        <v>769</v>
      </c>
      <c r="F771" s="267" t="s">
        <v>61</v>
      </c>
      <c r="G771" s="267"/>
      <c r="H771" s="268"/>
      <c r="I771" s="268"/>
      <c r="J771" s="269"/>
      <c r="K771" s="269"/>
      <c r="L771" s="269"/>
      <c r="M771" s="319">
        <v>10</v>
      </c>
      <c r="N771" s="271" t="s">
        <v>81</v>
      </c>
      <c r="O771" s="327">
        <f t="shared" si="395"/>
        <v>10</v>
      </c>
      <c r="P771" s="271" t="s">
        <v>81</v>
      </c>
      <c r="Q771" s="273">
        <v>0.5</v>
      </c>
      <c r="R771" s="271" t="s">
        <v>162</v>
      </c>
      <c r="S771" s="290">
        <f t="shared" si="393"/>
        <v>5</v>
      </c>
      <c r="T771" s="275"/>
      <c r="U771" s="290">
        <f t="shared" si="369"/>
        <v>5</v>
      </c>
      <c r="V771" s="276" t="s">
        <v>48</v>
      </c>
    </row>
    <row r="772" spans="1:22" s="172" customFormat="1" ht="20.25" customHeight="1">
      <c r="A772" s="263" t="str">
        <f t="shared" si="365"/>
        <v/>
      </c>
      <c r="B772" s="263"/>
      <c r="C772" s="264">
        <f t="shared" si="349"/>
        <v>771</v>
      </c>
      <c r="D772" s="277" t="s">
        <v>1387</v>
      </c>
      <c r="E772" s="293">
        <f t="shared" si="394"/>
        <v>770</v>
      </c>
      <c r="F772" s="267" t="s">
        <v>61</v>
      </c>
      <c r="G772" s="267"/>
      <c r="H772" s="268"/>
      <c r="I772" s="268"/>
      <c r="J772" s="269"/>
      <c r="K772" s="269"/>
      <c r="L772" s="269"/>
      <c r="M772" s="319">
        <v>2</v>
      </c>
      <c r="N772" s="271" t="s">
        <v>81</v>
      </c>
      <c r="O772" s="327">
        <f t="shared" si="395"/>
        <v>2</v>
      </c>
      <c r="P772" s="271" t="s">
        <v>81</v>
      </c>
      <c r="Q772" s="273">
        <v>0.5</v>
      </c>
      <c r="R772" s="271" t="s">
        <v>162</v>
      </c>
      <c r="S772" s="290">
        <f t="shared" si="393"/>
        <v>1</v>
      </c>
      <c r="T772" s="275"/>
      <c r="U772" s="290">
        <f t="shared" si="369"/>
        <v>1</v>
      </c>
      <c r="V772" s="276" t="s">
        <v>48</v>
      </c>
    </row>
    <row r="773" spans="1:22" s="172" customFormat="1" ht="20.25" customHeight="1">
      <c r="A773" s="263" t="str">
        <f t="shared" si="365"/>
        <v/>
      </c>
      <c r="B773" s="263"/>
      <c r="C773" s="264">
        <f t="shared" ref="C773:C836" si="396">C772+1</f>
        <v>772</v>
      </c>
      <c r="D773" s="277" t="s">
        <v>1388</v>
      </c>
      <c r="E773" s="293">
        <f t="shared" si="394"/>
        <v>771</v>
      </c>
      <c r="F773" s="267" t="s">
        <v>172</v>
      </c>
      <c r="G773" s="267"/>
      <c r="H773" s="268"/>
      <c r="I773" s="268"/>
      <c r="J773" s="269"/>
      <c r="K773" s="269"/>
      <c r="L773" s="269"/>
      <c r="M773" s="319">
        <v>2</v>
      </c>
      <c r="N773" s="271" t="s">
        <v>81</v>
      </c>
      <c r="O773" s="327">
        <f t="shared" si="395"/>
        <v>2</v>
      </c>
      <c r="P773" s="271" t="s">
        <v>81</v>
      </c>
      <c r="Q773" s="273">
        <v>0.5</v>
      </c>
      <c r="R773" s="271" t="s">
        <v>162</v>
      </c>
      <c r="S773" s="290">
        <f t="shared" si="393"/>
        <v>1</v>
      </c>
      <c r="T773" s="275"/>
      <c r="U773" s="290">
        <f t="shared" si="369"/>
        <v>1</v>
      </c>
      <c r="V773" s="276" t="s">
        <v>48</v>
      </c>
    </row>
    <row r="774" spans="1:22" s="172" customFormat="1" ht="20.25" customHeight="1">
      <c r="A774" s="263" t="str">
        <f t="shared" si="365"/>
        <v/>
      </c>
      <c r="B774" s="263"/>
      <c r="C774" s="264">
        <f t="shared" si="396"/>
        <v>773</v>
      </c>
      <c r="D774" s="277" t="s">
        <v>1389</v>
      </c>
      <c r="E774" s="293">
        <f t="shared" si="394"/>
        <v>772</v>
      </c>
      <c r="F774" s="267" t="s">
        <v>115</v>
      </c>
      <c r="G774" s="267"/>
      <c r="H774" s="268"/>
      <c r="I774" s="268"/>
      <c r="J774" s="269"/>
      <c r="K774" s="269"/>
      <c r="L774" s="269"/>
      <c r="M774" s="319">
        <v>2</v>
      </c>
      <c r="N774" s="271" t="s">
        <v>81</v>
      </c>
      <c r="O774" s="327">
        <f t="shared" si="395"/>
        <v>2</v>
      </c>
      <c r="P774" s="271" t="s">
        <v>81</v>
      </c>
      <c r="Q774" s="273">
        <v>0.5</v>
      </c>
      <c r="R774" s="271" t="s">
        <v>162</v>
      </c>
      <c r="S774" s="290">
        <f t="shared" si="393"/>
        <v>1</v>
      </c>
      <c r="T774" s="275"/>
      <c r="U774" s="290">
        <f t="shared" si="369"/>
        <v>1</v>
      </c>
      <c r="V774" s="276" t="s">
        <v>48</v>
      </c>
    </row>
    <row r="775" spans="1:22" s="172" customFormat="1" ht="20.25" customHeight="1">
      <c r="A775" s="263" t="str">
        <f t="shared" si="365"/>
        <v/>
      </c>
      <c r="B775" s="263"/>
      <c r="C775" s="264">
        <f t="shared" si="396"/>
        <v>774</v>
      </c>
      <c r="D775" s="277" t="s">
        <v>1390</v>
      </c>
      <c r="E775" s="293">
        <f t="shared" si="394"/>
        <v>773</v>
      </c>
      <c r="F775" s="267" t="s">
        <v>115</v>
      </c>
      <c r="G775" s="267"/>
      <c r="H775" s="268"/>
      <c r="I775" s="268"/>
      <c r="J775" s="269"/>
      <c r="K775" s="269"/>
      <c r="L775" s="269"/>
      <c r="M775" s="319">
        <v>2</v>
      </c>
      <c r="N775" s="271" t="s">
        <v>81</v>
      </c>
      <c r="O775" s="327">
        <f t="shared" si="395"/>
        <v>2</v>
      </c>
      <c r="P775" s="271" t="s">
        <v>81</v>
      </c>
      <c r="Q775" s="273">
        <v>0.5</v>
      </c>
      <c r="R775" s="271" t="s">
        <v>162</v>
      </c>
      <c r="S775" s="290">
        <f t="shared" si="393"/>
        <v>1</v>
      </c>
      <c r="T775" s="275"/>
      <c r="U775" s="290">
        <f t="shared" si="369"/>
        <v>1</v>
      </c>
      <c r="V775" s="276" t="s">
        <v>48</v>
      </c>
    </row>
    <row r="776" spans="1:22" s="172" customFormat="1" ht="20.25" customHeight="1">
      <c r="A776" s="263" t="str">
        <f t="shared" si="365"/>
        <v/>
      </c>
      <c r="B776" s="263"/>
      <c r="C776" s="264">
        <f t="shared" si="396"/>
        <v>775</v>
      </c>
      <c r="D776" s="277" t="s">
        <v>1391</v>
      </c>
      <c r="E776" s="293">
        <f t="shared" si="394"/>
        <v>774</v>
      </c>
      <c r="F776" s="267" t="s">
        <v>44</v>
      </c>
      <c r="G776" s="267"/>
      <c r="H776" s="268"/>
      <c r="I776" s="268"/>
      <c r="J776" s="269"/>
      <c r="K776" s="269"/>
      <c r="L776" s="269"/>
      <c r="M776" s="319">
        <v>4</v>
      </c>
      <c r="N776" s="271" t="s">
        <v>81</v>
      </c>
      <c r="O776" s="327">
        <f t="shared" si="395"/>
        <v>4</v>
      </c>
      <c r="P776" s="271" t="s">
        <v>81</v>
      </c>
      <c r="Q776" s="273">
        <v>0.5</v>
      </c>
      <c r="R776" s="271" t="s">
        <v>162</v>
      </c>
      <c r="S776" s="290">
        <f t="shared" si="393"/>
        <v>2</v>
      </c>
      <c r="T776" s="275"/>
      <c r="U776" s="290">
        <f t="shared" si="369"/>
        <v>2</v>
      </c>
      <c r="V776" s="276" t="s">
        <v>48</v>
      </c>
    </row>
    <row r="777" spans="1:22" s="172" customFormat="1" ht="20.25" customHeight="1">
      <c r="A777" s="263">
        <f t="shared" si="365"/>
        <v>776</v>
      </c>
      <c r="B777" s="263" t="s">
        <v>1263</v>
      </c>
      <c r="C777" s="264">
        <f t="shared" si="396"/>
        <v>776</v>
      </c>
      <c r="D777" s="265" t="s">
        <v>1392</v>
      </c>
      <c r="E777" s="279">
        <f>C762</f>
        <v>761</v>
      </c>
      <c r="F777" s="267"/>
      <c r="G777" s="267"/>
      <c r="H777" s="268"/>
      <c r="I777" s="268"/>
      <c r="J777" s="269"/>
      <c r="K777" s="269"/>
      <c r="L777" s="269"/>
      <c r="M777" s="319"/>
      <c r="N777" s="271"/>
      <c r="O777" s="280"/>
      <c r="P777" s="271"/>
      <c r="Q777" s="281"/>
      <c r="R777" s="271"/>
      <c r="S777" s="312"/>
      <c r="T777" s="282"/>
      <c r="U777" s="312"/>
      <c r="V777" s="276"/>
    </row>
    <row r="778" spans="1:22" s="172" customFormat="1" ht="20.25" customHeight="1">
      <c r="A778" s="263" t="str">
        <f t="shared" si="365"/>
        <v/>
      </c>
      <c r="B778" s="263"/>
      <c r="C778" s="264">
        <f t="shared" si="396"/>
        <v>777</v>
      </c>
      <c r="D778" s="277" t="s">
        <v>1363</v>
      </c>
      <c r="E778" s="293"/>
      <c r="F778" s="267"/>
      <c r="G778" s="267"/>
      <c r="H778" s="268"/>
      <c r="I778" s="268"/>
      <c r="J778" s="269"/>
      <c r="K778" s="269"/>
      <c r="L778" s="269"/>
      <c r="M778" s="319">
        <v>1</v>
      </c>
      <c r="N778" s="271" t="s">
        <v>84</v>
      </c>
      <c r="O778" s="272">
        <v>1</v>
      </c>
      <c r="P778" s="271" t="s">
        <v>84</v>
      </c>
      <c r="Q778" s="273">
        <v>4</v>
      </c>
      <c r="R778" s="271" t="s">
        <v>177</v>
      </c>
      <c r="S778" s="290">
        <f t="shared" ref="S778:S781" si="397">O778*Q778</f>
        <v>4</v>
      </c>
      <c r="T778" s="275"/>
      <c r="U778" s="290">
        <f t="shared" si="369"/>
        <v>4</v>
      </c>
      <c r="V778" s="276" t="s">
        <v>42</v>
      </c>
    </row>
    <row r="779" spans="1:22" s="172" customFormat="1" ht="20.25" customHeight="1">
      <c r="A779" s="263" t="str">
        <f t="shared" si="365"/>
        <v/>
      </c>
      <c r="B779" s="263"/>
      <c r="C779" s="264">
        <f t="shared" si="396"/>
        <v>778</v>
      </c>
      <c r="D779" s="277" t="s">
        <v>1393</v>
      </c>
      <c r="E779" s="293">
        <f t="shared" ref="E779:E781" si="398">C778</f>
        <v>777</v>
      </c>
      <c r="F779" s="267" t="s">
        <v>44</v>
      </c>
      <c r="G779" s="267"/>
      <c r="H779" s="316">
        <v>18</v>
      </c>
      <c r="I779" s="316"/>
      <c r="J779" s="269"/>
      <c r="K779" s="269"/>
      <c r="L779" s="269"/>
      <c r="M779" s="319">
        <v>4</v>
      </c>
      <c r="N779" s="271" t="s">
        <v>81</v>
      </c>
      <c r="O779" s="327">
        <f t="shared" ref="O779:O781" si="399">M779</f>
        <v>4</v>
      </c>
      <c r="P779" s="271" t="s">
        <v>81</v>
      </c>
      <c r="Q779" s="273">
        <v>0.5</v>
      </c>
      <c r="R779" s="271" t="s">
        <v>162</v>
      </c>
      <c r="S779" s="290">
        <f t="shared" si="397"/>
        <v>2</v>
      </c>
      <c r="T779" s="275"/>
      <c r="U779" s="290">
        <f t="shared" si="369"/>
        <v>2</v>
      </c>
      <c r="V779" s="276" t="s">
        <v>48</v>
      </c>
    </row>
    <row r="780" spans="1:22" s="172" customFormat="1" ht="20.25" customHeight="1">
      <c r="A780" s="263" t="str">
        <f t="shared" si="365"/>
        <v/>
      </c>
      <c r="B780" s="263"/>
      <c r="C780" s="264">
        <f t="shared" si="396"/>
        <v>779</v>
      </c>
      <c r="D780" s="277" t="s">
        <v>1394</v>
      </c>
      <c r="E780" s="293">
        <f t="shared" si="398"/>
        <v>778</v>
      </c>
      <c r="F780" s="267" t="s">
        <v>52</v>
      </c>
      <c r="G780" s="267"/>
      <c r="H780" s="268"/>
      <c r="I780" s="268"/>
      <c r="J780" s="269"/>
      <c r="K780" s="269"/>
      <c r="L780" s="269"/>
      <c r="M780" s="319">
        <v>4</v>
      </c>
      <c r="N780" s="271" t="s">
        <v>81</v>
      </c>
      <c r="O780" s="327">
        <f t="shared" si="399"/>
        <v>4</v>
      </c>
      <c r="P780" s="271" t="s">
        <v>81</v>
      </c>
      <c r="Q780" s="273">
        <v>0.5</v>
      </c>
      <c r="R780" s="271" t="s">
        <v>162</v>
      </c>
      <c r="S780" s="290">
        <f t="shared" si="397"/>
        <v>2</v>
      </c>
      <c r="T780" s="275"/>
      <c r="U780" s="290">
        <f t="shared" si="369"/>
        <v>2</v>
      </c>
      <c r="V780" s="276" t="s">
        <v>48</v>
      </c>
    </row>
    <row r="781" spans="1:22" s="172" customFormat="1" ht="20.25" customHeight="1">
      <c r="A781" s="263" t="str">
        <f t="shared" si="365"/>
        <v/>
      </c>
      <c r="B781" s="263"/>
      <c r="C781" s="264">
        <f t="shared" si="396"/>
        <v>780</v>
      </c>
      <c r="D781" s="277" t="s">
        <v>1395</v>
      </c>
      <c r="E781" s="293">
        <f t="shared" si="398"/>
        <v>779</v>
      </c>
      <c r="F781" s="267" t="s">
        <v>121</v>
      </c>
      <c r="G781" s="267"/>
      <c r="H781" s="268"/>
      <c r="I781" s="268"/>
      <c r="J781" s="269"/>
      <c r="K781" s="269"/>
      <c r="L781" s="269"/>
      <c r="M781" s="319">
        <v>4</v>
      </c>
      <c r="N781" s="271" t="s">
        <v>81</v>
      </c>
      <c r="O781" s="327">
        <f t="shared" si="399"/>
        <v>4</v>
      </c>
      <c r="P781" s="271" t="s">
        <v>81</v>
      </c>
      <c r="Q781" s="273">
        <v>0.5</v>
      </c>
      <c r="R781" s="271" t="s">
        <v>162</v>
      </c>
      <c r="S781" s="290">
        <f t="shared" si="397"/>
        <v>2</v>
      </c>
      <c r="T781" s="275"/>
      <c r="U781" s="290">
        <f t="shared" si="369"/>
        <v>2</v>
      </c>
      <c r="V781" s="276" t="s">
        <v>48</v>
      </c>
    </row>
    <row r="782" spans="1:22" s="172" customFormat="1" ht="20.25" customHeight="1">
      <c r="A782" s="263">
        <f t="shared" si="365"/>
        <v>781</v>
      </c>
      <c r="B782" s="263" t="s">
        <v>1263</v>
      </c>
      <c r="C782" s="264">
        <f t="shared" si="396"/>
        <v>781</v>
      </c>
      <c r="D782" s="265" t="s">
        <v>1396</v>
      </c>
      <c r="E782" s="279">
        <f>C777</f>
        <v>776</v>
      </c>
      <c r="F782" s="267"/>
      <c r="G782" s="267"/>
      <c r="H782" s="268"/>
      <c r="I782" s="268"/>
      <c r="J782" s="269"/>
      <c r="K782" s="269"/>
      <c r="L782" s="269"/>
      <c r="M782" s="319"/>
      <c r="N782" s="271"/>
      <c r="O782" s="280"/>
      <c r="P782" s="271"/>
      <c r="Q782" s="281"/>
      <c r="R782" s="271"/>
      <c r="S782" s="312"/>
      <c r="T782" s="282"/>
      <c r="U782" s="312"/>
      <c r="V782" s="276"/>
    </row>
    <row r="783" spans="1:22" s="172" customFormat="1" ht="20.25" customHeight="1">
      <c r="A783" s="263" t="str">
        <f t="shared" si="365"/>
        <v/>
      </c>
      <c r="B783" s="263"/>
      <c r="C783" s="264">
        <f t="shared" si="396"/>
        <v>782</v>
      </c>
      <c r="D783" s="277" t="s">
        <v>1397</v>
      </c>
      <c r="E783" s="293"/>
      <c r="F783" s="267" t="s">
        <v>44</v>
      </c>
      <c r="G783" s="267"/>
      <c r="H783" s="316">
        <v>24</v>
      </c>
      <c r="I783" s="316"/>
      <c r="J783" s="269"/>
      <c r="K783" s="269"/>
      <c r="L783" s="269"/>
      <c r="M783" s="319">
        <v>1</v>
      </c>
      <c r="N783" s="271" t="str">
        <f>$N$761</f>
        <v>Set</v>
      </c>
      <c r="O783" s="272">
        <v>1</v>
      </c>
      <c r="P783" s="271" t="s">
        <v>84</v>
      </c>
      <c r="Q783" s="273">
        <v>4</v>
      </c>
      <c r="R783" s="271" t="s">
        <v>177</v>
      </c>
      <c r="S783" s="290">
        <f t="shared" ref="S783:S786" si="400">O783*Q783</f>
        <v>4</v>
      </c>
      <c r="T783" s="275"/>
      <c r="U783" s="290">
        <f t="shared" si="369"/>
        <v>4</v>
      </c>
      <c r="V783" s="276" t="s">
        <v>42</v>
      </c>
    </row>
    <row r="784" spans="1:22" s="172" customFormat="1" ht="20.25" customHeight="1">
      <c r="A784" s="263" t="str">
        <f t="shared" si="365"/>
        <v/>
      </c>
      <c r="B784" s="263"/>
      <c r="C784" s="264">
        <f t="shared" si="396"/>
        <v>783</v>
      </c>
      <c r="D784" s="277" t="s">
        <v>1398</v>
      </c>
      <c r="E784" s="293">
        <f t="shared" ref="E784:E786" si="401">C783</f>
        <v>782</v>
      </c>
      <c r="F784" s="267" t="s">
        <v>52</v>
      </c>
      <c r="G784" s="267"/>
      <c r="H784" s="268"/>
      <c r="I784" s="268"/>
      <c r="J784" s="269"/>
      <c r="K784" s="269"/>
      <c r="L784" s="269"/>
      <c r="M784" s="319">
        <v>4</v>
      </c>
      <c r="N784" s="271" t="s">
        <v>81</v>
      </c>
      <c r="O784" s="327">
        <f t="shared" ref="O784:O786" si="402">M784</f>
        <v>4</v>
      </c>
      <c r="P784" s="271" t="s">
        <v>81</v>
      </c>
      <c r="Q784" s="273">
        <v>0.5</v>
      </c>
      <c r="R784" s="271" t="s">
        <v>162</v>
      </c>
      <c r="S784" s="290">
        <f t="shared" si="400"/>
        <v>2</v>
      </c>
      <c r="T784" s="275"/>
      <c r="U784" s="290">
        <f t="shared" si="369"/>
        <v>2</v>
      </c>
      <c r="V784" s="276" t="s">
        <v>48</v>
      </c>
    </row>
    <row r="785" spans="1:22" s="172" customFormat="1" ht="20.25" customHeight="1">
      <c r="A785" s="263" t="str">
        <f t="shared" si="365"/>
        <v/>
      </c>
      <c r="B785" s="263"/>
      <c r="C785" s="264">
        <f t="shared" si="396"/>
        <v>784</v>
      </c>
      <c r="D785" s="277" t="s">
        <v>1399</v>
      </c>
      <c r="E785" s="293">
        <f t="shared" si="401"/>
        <v>783</v>
      </c>
      <c r="F785" s="267" t="s">
        <v>121</v>
      </c>
      <c r="G785" s="267"/>
      <c r="H785" s="268"/>
      <c r="I785" s="268"/>
      <c r="J785" s="269"/>
      <c r="K785" s="269"/>
      <c r="L785" s="269"/>
      <c r="M785" s="319">
        <v>4</v>
      </c>
      <c r="N785" s="271" t="s">
        <v>81</v>
      </c>
      <c r="O785" s="327">
        <f t="shared" si="402"/>
        <v>4</v>
      </c>
      <c r="P785" s="271" t="s">
        <v>81</v>
      </c>
      <c r="Q785" s="273">
        <v>0.5</v>
      </c>
      <c r="R785" s="271" t="s">
        <v>162</v>
      </c>
      <c r="S785" s="290">
        <f t="shared" si="400"/>
        <v>2</v>
      </c>
      <c r="T785" s="275"/>
      <c r="U785" s="290">
        <f t="shared" si="369"/>
        <v>2</v>
      </c>
      <c r="V785" s="276" t="s">
        <v>48</v>
      </c>
    </row>
    <row r="786" spans="1:22" s="172" customFormat="1" ht="20.25" customHeight="1">
      <c r="A786" s="263" t="str">
        <f t="shared" si="365"/>
        <v/>
      </c>
      <c r="B786" s="263"/>
      <c r="C786" s="264">
        <f t="shared" si="396"/>
        <v>785</v>
      </c>
      <c r="D786" s="277" t="s">
        <v>1400</v>
      </c>
      <c r="E786" s="293">
        <f t="shared" si="401"/>
        <v>784</v>
      </c>
      <c r="F786" s="267" t="s">
        <v>44</v>
      </c>
      <c r="G786" s="267"/>
      <c r="H786" s="268"/>
      <c r="I786" s="268"/>
      <c r="J786" s="269"/>
      <c r="K786" s="269"/>
      <c r="L786" s="269"/>
      <c r="M786" s="319">
        <v>4</v>
      </c>
      <c r="N786" s="271" t="s">
        <v>81</v>
      </c>
      <c r="O786" s="327">
        <f t="shared" si="402"/>
        <v>4</v>
      </c>
      <c r="P786" s="271" t="s">
        <v>81</v>
      </c>
      <c r="Q786" s="273">
        <v>0.5</v>
      </c>
      <c r="R786" s="271" t="s">
        <v>162</v>
      </c>
      <c r="S786" s="290">
        <f t="shared" si="400"/>
        <v>2</v>
      </c>
      <c r="T786" s="275"/>
      <c r="U786" s="290">
        <f t="shared" si="369"/>
        <v>2</v>
      </c>
      <c r="V786" s="276" t="s">
        <v>48</v>
      </c>
    </row>
    <row r="787" spans="1:22" s="172" customFormat="1" ht="20.25" customHeight="1">
      <c r="A787" s="263">
        <f t="shared" si="365"/>
        <v>786</v>
      </c>
      <c r="B787" s="263" t="s">
        <v>1263</v>
      </c>
      <c r="C787" s="264">
        <f t="shared" si="396"/>
        <v>786</v>
      </c>
      <c r="D787" s="265" t="s">
        <v>1401</v>
      </c>
      <c r="E787" s="279">
        <f>C782</f>
        <v>781</v>
      </c>
      <c r="F787" s="267"/>
      <c r="G787" s="267"/>
      <c r="H787" s="268"/>
      <c r="I787" s="268"/>
      <c r="J787" s="269"/>
      <c r="K787" s="269"/>
      <c r="L787" s="269"/>
      <c r="M787" s="319"/>
      <c r="N787" s="271"/>
      <c r="O787" s="280"/>
      <c r="P787" s="271"/>
      <c r="Q787" s="281"/>
      <c r="R787" s="271"/>
      <c r="S787" s="312"/>
      <c r="T787" s="282"/>
      <c r="U787" s="312"/>
      <c r="V787" s="276"/>
    </row>
    <row r="788" spans="1:22" s="172" customFormat="1" ht="20.25" customHeight="1">
      <c r="A788" s="263" t="str">
        <f t="shared" si="365"/>
        <v/>
      </c>
      <c r="B788" s="263"/>
      <c r="C788" s="264">
        <f t="shared" si="396"/>
        <v>787</v>
      </c>
      <c r="D788" s="277" t="s">
        <v>1402</v>
      </c>
      <c r="E788" s="293"/>
      <c r="F788" s="267" t="s">
        <v>44</v>
      </c>
      <c r="G788" s="267"/>
      <c r="H788" s="268"/>
      <c r="I788" s="268"/>
      <c r="J788" s="269"/>
      <c r="K788" s="269"/>
      <c r="L788" s="269"/>
      <c r="M788" s="319">
        <v>4</v>
      </c>
      <c r="N788" s="271" t="s">
        <v>81</v>
      </c>
      <c r="O788" s="327">
        <f t="shared" ref="O788:O789" si="403">M788</f>
        <v>4</v>
      </c>
      <c r="P788" s="271" t="s">
        <v>81</v>
      </c>
      <c r="Q788" s="273">
        <v>1</v>
      </c>
      <c r="R788" s="271" t="s">
        <v>162</v>
      </c>
      <c r="S788" s="290">
        <f t="shared" ref="S788:S789" si="404">O788*Q788</f>
        <v>4</v>
      </c>
      <c r="T788" s="275"/>
      <c r="U788" s="290">
        <f t="shared" si="369"/>
        <v>4</v>
      </c>
      <c r="V788" s="276" t="s">
        <v>42</v>
      </c>
    </row>
    <row r="789" spans="1:22" s="172" customFormat="1" ht="20.25" customHeight="1">
      <c r="A789" s="263" t="str">
        <f t="shared" si="365"/>
        <v/>
      </c>
      <c r="B789" s="263"/>
      <c r="C789" s="264">
        <f t="shared" si="396"/>
        <v>788</v>
      </c>
      <c r="D789" s="277" t="s">
        <v>1403</v>
      </c>
      <c r="E789" s="293">
        <f t="shared" ref="E789" si="405">C788</f>
        <v>787</v>
      </c>
      <c r="F789" s="267" t="s">
        <v>44</v>
      </c>
      <c r="G789" s="267"/>
      <c r="H789" s="268"/>
      <c r="I789" s="268"/>
      <c r="J789" s="269"/>
      <c r="K789" s="269"/>
      <c r="L789" s="269"/>
      <c r="M789" s="319">
        <v>4</v>
      </c>
      <c r="N789" s="271" t="s">
        <v>81</v>
      </c>
      <c r="O789" s="327">
        <f t="shared" si="403"/>
        <v>4</v>
      </c>
      <c r="P789" s="271" t="s">
        <v>81</v>
      </c>
      <c r="Q789" s="273">
        <v>1</v>
      </c>
      <c r="R789" s="271" t="s">
        <v>162</v>
      </c>
      <c r="S789" s="290">
        <f t="shared" si="404"/>
        <v>4</v>
      </c>
      <c r="T789" s="275"/>
      <c r="U789" s="290">
        <f t="shared" si="369"/>
        <v>4</v>
      </c>
      <c r="V789" s="276" t="s">
        <v>42</v>
      </c>
    </row>
    <row r="790" spans="1:22" s="172" customFormat="1" ht="20.25" customHeight="1">
      <c r="A790" s="263">
        <f t="shared" si="365"/>
        <v>789</v>
      </c>
      <c r="B790" s="263" t="s">
        <v>1263</v>
      </c>
      <c r="C790" s="264">
        <f t="shared" si="396"/>
        <v>789</v>
      </c>
      <c r="D790" s="265" t="s">
        <v>1404</v>
      </c>
      <c r="E790" s="279">
        <f>C787</f>
        <v>786</v>
      </c>
      <c r="F790" s="267"/>
      <c r="G790" s="267"/>
      <c r="H790" s="268"/>
      <c r="I790" s="268"/>
      <c r="J790" s="269"/>
      <c r="K790" s="269"/>
      <c r="L790" s="269"/>
      <c r="M790" s="319"/>
      <c r="N790" s="271"/>
      <c r="O790" s="280"/>
      <c r="P790" s="271"/>
      <c r="Q790" s="281"/>
      <c r="R790" s="271"/>
      <c r="S790" s="312"/>
      <c r="T790" s="282"/>
      <c r="U790" s="312"/>
      <c r="V790" s="276"/>
    </row>
    <row r="791" spans="1:22" s="172" customFormat="1" ht="20.25" customHeight="1">
      <c r="A791" s="263" t="str">
        <f t="shared" si="365"/>
        <v/>
      </c>
      <c r="B791" s="263"/>
      <c r="C791" s="264">
        <f t="shared" si="396"/>
        <v>790</v>
      </c>
      <c r="D791" s="277" t="s">
        <v>1405</v>
      </c>
      <c r="E791" s="293"/>
      <c r="F791" s="267" t="s">
        <v>44</v>
      </c>
      <c r="G791" s="267"/>
      <c r="H791" s="316">
        <v>12</v>
      </c>
      <c r="I791" s="316"/>
      <c r="J791" s="269"/>
      <c r="K791" s="269"/>
      <c r="L791" s="269"/>
      <c r="M791" s="319">
        <v>1</v>
      </c>
      <c r="N791" s="271" t="s">
        <v>81</v>
      </c>
      <c r="O791" s="327">
        <f t="shared" ref="O791:O794" si="406">M791</f>
        <v>1</v>
      </c>
      <c r="P791" s="271" t="s">
        <v>81</v>
      </c>
      <c r="Q791" s="273">
        <v>4</v>
      </c>
      <c r="R791" s="271" t="s">
        <v>162</v>
      </c>
      <c r="S791" s="290">
        <f t="shared" ref="S791:S794" si="407">O791*Q791</f>
        <v>4</v>
      </c>
      <c r="T791" s="275"/>
      <c r="U791" s="290">
        <f t="shared" si="369"/>
        <v>4</v>
      </c>
      <c r="V791" s="276" t="s">
        <v>48</v>
      </c>
    </row>
    <row r="792" spans="1:22" s="172" customFormat="1" ht="20.25" customHeight="1">
      <c r="A792" s="263" t="str">
        <f t="shared" si="365"/>
        <v/>
      </c>
      <c r="B792" s="263"/>
      <c r="C792" s="264">
        <f t="shared" si="396"/>
        <v>791</v>
      </c>
      <c r="D792" s="277" t="s">
        <v>1406</v>
      </c>
      <c r="E792" s="293">
        <f t="shared" ref="E792:E799" si="408">C791</f>
        <v>790</v>
      </c>
      <c r="F792" s="267" t="s">
        <v>52</v>
      </c>
      <c r="G792" s="267"/>
      <c r="H792" s="268"/>
      <c r="I792" s="268"/>
      <c r="J792" s="269"/>
      <c r="K792" s="269"/>
      <c r="L792" s="269"/>
      <c r="M792" s="319">
        <v>1</v>
      </c>
      <c r="N792" s="271" t="s">
        <v>81</v>
      </c>
      <c r="O792" s="327">
        <f t="shared" si="406"/>
        <v>1</v>
      </c>
      <c r="P792" s="271" t="s">
        <v>81</v>
      </c>
      <c r="Q792" s="273">
        <v>4</v>
      </c>
      <c r="R792" s="271" t="s">
        <v>162</v>
      </c>
      <c r="S792" s="290">
        <f t="shared" si="407"/>
        <v>4</v>
      </c>
      <c r="T792" s="275"/>
      <c r="U792" s="290">
        <f t="shared" si="369"/>
        <v>4</v>
      </c>
      <c r="V792" s="276" t="s">
        <v>48</v>
      </c>
    </row>
    <row r="793" spans="1:22" s="172" customFormat="1" ht="20.25" customHeight="1">
      <c r="A793" s="263" t="str">
        <f t="shared" si="365"/>
        <v/>
      </c>
      <c r="B793" s="263"/>
      <c r="C793" s="264">
        <f t="shared" si="396"/>
        <v>792</v>
      </c>
      <c r="D793" s="277" t="s">
        <v>1407</v>
      </c>
      <c r="E793" s="293">
        <f t="shared" si="408"/>
        <v>791</v>
      </c>
      <c r="F793" s="267" t="s">
        <v>44</v>
      </c>
      <c r="G793" s="267"/>
      <c r="H793" s="268"/>
      <c r="I793" s="268"/>
      <c r="J793" s="269"/>
      <c r="K793" s="269"/>
      <c r="L793" s="269"/>
      <c r="M793" s="319">
        <v>1</v>
      </c>
      <c r="N793" s="271" t="s">
        <v>81</v>
      </c>
      <c r="O793" s="327">
        <f t="shared" si="406"/>
        <v>1</v>
      </c>
      <c r="P793" s="271" t="s">
        <v>81</v>
      </c>
      <c r="Q793" s="273">
        <v>2</v>
      </c>
      <c r="R793" s="271" t="s">
        <v>162</v>
      </c>
      <c r="S793" s="290">
        <f t="shared" si="407"/>
        <v>2</v>
      </c>
      <c r="T793" s="275"/>
      <c r="U793" s="290">
        <f t="shared" si="369"/>
        <v>2</v>
      </c>
      <c r="V793" s="276" t="s">
        <v>48</v>
      </c>
    </row>
    <row r="794" spans="1:22" s="172" customFormat="1" ht="20.25" customHeight="1">
      <c r="A794" s="263" t="str">
        <f t="shared" si="365"/>
        <v/>
      </c>
      <c r="B794" s="263"/>
      <c r="C794" s="264">
        <f t="shared" si="396"/>
        <v>793</v>
      </c>
      <c r="D794" s="277" t="s">
        <v>1408</v>
      </c>
      <c r="E794" s="293">
        <f t="shared" si="408"/>
        <v>792</v>
      </c>
      <c r="F794" s="267" t="s">
        <v>44</v>
      </c>
      <c r="G794" s="267"/>
      <c r="H794" s="268"/>
      <c r="I794" s="268"/>
      <c r="J794" s="269"/>
      <c r="K794" s="269"/>
      <c r="L794" s="269"/>
      <c r="M794" s="319">
        <v>1</v>
      </c>
      <c r="N794" s="271" t="s">
        <v>81</v>
      </c>
      <c r="O794" s="327">
        <f t="shared" si="406"/>
        <v>1</v>
      </c>
      <c r="P794" s="271" t="s">
        <v>81</v>
      </c>
      <c r="Q794" s="273">
        <v>1</v>
      </c>
      <c r="R794" s="271" t="s">
        <v>162</v>
      </c>
      <c r="S794" s="290">
        <f t="shared" si="407"/>
        <v>1</v>
      </c>
      <c r="T794" s="275"/>
      <c r="U794" s="290">
        <f t="shared" si="369"/>
        <v>1</v>
      </c>
      <c r="V794" s="276" t="s">
        <v>48</v>
      </c>
    </row>
    <row r="795" spans="1:22" s="172" customFormat="1" ht="20.25" customHeight="1">
      <c r="A795" s="263">
        <f t="shared" si="365"/>
        <v>794</v>
      </c>
      <c r="B795" s="263" t="s">
        <v>1263</v>
      </c>
      <c r="C795" s="264">
        <f t="shared" si="396"/>
        <v>794</v>
      </c>
      <c r="D795" s="265" t="s">
        <v>1409</v>
      </c>
      <c r="E795" s="279"/>
      <c r="F795" s="267"/>
      <c r="G795" s="267"/>
      <c r="H795" s="268"/>
      <c r="I795" s="268"/>
      <c r="J795" s="269"/>
      <c r="K795" s="269"/>
      <c r="L795" s="269"/>
      <c r="M795" s="319"/>
      <c r="N795" s="271"/>
      <c r="O795" s="280"/>
      <c r="P795" s="271"/>
      <c r="Q795" s="281"/>
      <c r="R795" s="271"/>
      <c r="S795" s="312"/>
      <c r="T795" s="282"/>
      <c r="U795" s="312"/>
      <c r="V795" s="276"/>
    </row>
    <row r="796" spans="1:22" s="172" customFormat="1" ht="20.25" customHeight="1">
      <c r="A796" s="263">
        <f t="shared" ref="A796:A859" si="409">IF(B796="Yes",C796,"")</f>
        <v>795</v>
      </c>
      <c r="B796" s="263" t="s">
        <v>1263</v>
      </c>
      <c r="C796" s="264">
        <f t="shared" si="396"/>
        <v>795</v>
      </c>
      <c r="D796" s="265" t="s">
        <v>1410</v>
      </c>
      <c r="E796" s="279">
        <f t="shared" si="408"/>
        <v>794</v>
      </c>
      <c r="F796" s="267"/>
      <c r="G796" s="267"/>
      <c r="H796" s="268"/>
      <c r="I796" s="268"/>
      <c r="J796" s="269"/>
      <c r="K796" s="269"/>
      <c r="L796" s="269"/>
      <c r="M796" s="319"/>
      <c r="N796" s="271"/>
      <c r="O796" s="280"/>
      <c r="P796" s="271"/>
      <c r="Q796" s="281"/>
      <c r="R796" s="271"/>
      <c r="S796" s="312"/>
      <c r="T796" s="282"/>
      <c r="U796" s="312"/>
      <c r="V796" s="276"/>
    </row>
    <row r="797" spans="1:22" s="172" customFormat="1" ht="20.25" customHeight="1">
      <c r="A797" s="263" t="str">
        <f t="shared" si="409"/>
        <v/>
      </c>
      <c r="B797" s="263"/>
      <c r="C797" s="264">
        <f t="shared" si="396"/>
        <v>796</v>
      </c>
      <c r="D797" s="277" t="s">
        <v>1411</v>
      </c>
      <c r="E797" s="293">
        <f t="shared" si="408"/>
        <v>795</v>
      </c>
      <c r="F797" s="267"/>
      <c r="G797" s="267"/>
      <c r="H797" s="268"/>
      <c r="I797" s="268"/>
      <c r="J797" s="269"/>
      <c r="K797" s="269"/>
      <c r="L797" s="269"/>
      <c r="M797" s="319">
        <v>1</v>
      </c>
      <c r="N797" s="271" t="s">
        <v>81</v>
      </c>
      <c r="O797" s="327">
        <f t="shared" ref="O797" si="410">M797</f>
        <v>1</v>
      </c>
      <c r="P797" s="271" t="s">
        <v>84</v>
      </c>
      <c r="Q797" s="273">
        <v>4</v>
      </c>
      <c r="R797" s="271" t="s">
        <v>41</v>
      </c>
      <c r="S797" s="290">
        <f t="shared" ref="S797:S799" si="411">O797*Q797</f>
        <v>4</v>
      </c>
      <c r="T797" s="275"/>
      <c r="U797" s="290">
        <f t="shared" si="369"/>
        <v>4</v>
      </c>
      <c r="V797" s="276" t="s">
        <v>48</v>
      </c>
    </row>
    <row r="798" spans="1:22" s="172" customFormat="1" ht="20.25" customHeight="1">
      <c r="A798" s="263" t="str">
        <f t="shared" si="409"/>
        <v/>
      </c>
      <c r="B798" s="263"/>
      <c r="C798" s="264">
        <f t="shared" si="396"/>
        <v>797</v>
      </c>
      <c r="D798" s="277" t="s">
        <v>1412</v>
      </c>
      <c r="E798" s="293">
        <f t="shared" si="408"/>
        <v>796</v>
      </c>
      <c r="F798" s="267" t="s">
        <v>44</v>
      </c>
      <c r="G798" s="267"/>
      <c r="H798" s="316">
        <v>14</v>
      </c>
      <c r="I798" s="316"/>
      <c r="J798" s="269"/>
      <c r="K798" s="269"/>
      <c r="L798" s="269"/>
      <c r="M798" s="319">
        <v>19</v>
      </c>
      <c r="N798" s="271" t="s">
        <v>81</v>
      </c>
      <c r="O798" s="272">
        <v>1</v>
      </c>
      <c r="P798" s="271" t="s">
        <v>84</v>
      </c>
      <c r="Q798" s="273">
        <v>1</v>
      </c>
      <c r="R798" s="271" t="s">
        <v>41</v>
      </c>
      <c r="S798" s="290">
        <f t="shared" si="411"/>
        <v>1</v>
      </c>
      <c r="T798" s="275"/>
      <c r="U798" s="290">
        <f t="shared" si="369"/>
        <v>1</v>
      </c>
      <c r="V798" s="276" t="s">
        <v>48</v>
      </c>
    </row>
    <row r="799" spans="1:22" s="172" customFormat="1" ht="20.25" customHeight="1">
      <c r="A799" s="263" t="str">
        <f t="shared" si="409"/>
        <v/>
      </c>
      <c r="B799" s="263"/>
      <c r="C799" s="264">
        <f t="shared" si="396"/>
        <v>798</v>
      </c>
      <c r="D799" s="277" t="s">
        <v>1413</v>
      </c>
      <c r="E799" s="293">
        <f t="shared" si="408"/>
        <v>797</v>
      </c>
      <c r="F799" s="267" t="s">
        <v>52</v>
      </c>
      <c r="G799" s="267"/>
      <c r="H799" s="268"/>
      <c r="I799" s="268"/>
      <c r="J799" s="269"/>
      <c r="K799" s="269"/>
      <c r="L799" s="269"/>
      <c r="M799" s="319">
        <v>19</v>
      </c>
      <c r="N799" s="271" t="s">
        <v>81</v>
      </c>
      <c r="O799" s="272">
        <v>1</v>
      </c>
      <c r="P799" s="271" t="s">
        <v>84</v>
      </c>
      <c r="Q799" s="273">
        <v>5</v>
      </c>
      <c r="R799" s="271" t="s">
        <v>41</v>
      </c>
      <c r="S799" s="290">
        <f t="shared" si="411"/>
        <v>5</v>
      </c>
      <c r="T799" s="275"/>
      <c r="U799" s="290">
        <f t="shared" ref="U799:U860" si="412">ROUND(S799+T799,2)</f>
        <v>5</v>
      </c>
      <c r="V799" s="276" t="s">
        <v>48</v>
      </c>
    </row>
    <row r="800" spans="1:22" s="172" customFormat="1" ht="20.25" customHeight="1">
      <c r="A800" s="263">
        <f t="shared" si="409"/>
        <v>799</v>
      </c>
      <c r="B800" s="263" t="s">
        <v>1263</v>
      </c>
      <c r="C800" s="264">
        <f t="shared" si="396"/>
        <v>799</v>
      </c>
      <c r="D800" s="265" t="s">
        <v>1414</v>
      </c>
      <c r="E800" s="279">
        <f>C796</f>
        <v>795</v>
      </c>
      <c r="F800" s="267"/>
      <c r="G800" s="267"/>
      <c r="H800" s="268"/>
      <c r="I800" s="268"/>
      <c r="J800" s="269"/>
      <c r="K800" s="269"/>
      <c r="L800" s="269"/>
      <c r="M800" s="319"/>
      <c r="N800" s="271"/>
      <c r="O800" s="280"/>
      <c r="P800" s="271"/>
      <c r="Q800" s="281"/>
      <c r="R800" s="271"/>
      <c r="S800" s="312"/>
      <c r="T800" s="282"/>
      <c r="U800" s="312"/>
      <c r="V800" s="276"/>
    </row>
    <row r="801" spans="1:22" s="172" customFormat="1" ht="20.25" customHeight="1">
      <c r="A801" s="263" t="str">
        <f t="shared" si="409"/>
        <v/>
      </c>
      <c r="B801" s="263"/>
      <c r="C801" s="264">
        <f t="shared" si="396"/>
        <v>800</v>
      </c>
      <c r="D801" s="277" t="s">
        <v>1415</v>
      </c>
      <c r="E801" s="293"/>
      <c r="F801" s="267" t="s">
        <v>201</v>
      </c>
      <c r="G801" s="267"/>
      <c r="H801" s="268"/>
      <c r="I801" s="268"/>
      <c r="J801" s="269"/>
      <c r="K801" s="269"/>
      <c r="L801" s="269"/>
      <c r="M801" s="319">
        <v>19</v>
      </c>
      <c r="N801" s="271" t="s">
        <v>81</v>
      </c>
      <c r="O801" s="327">
        <f t="shared" ref="O801" si="413">M801</f>
        <v>19</v>
      </c>
      <c r="P801" s="271" t="s">
        <v>81</v>
      </c>
      <c r="Q801" s="273">
        <v>1</v>
      </c>
      <c r="R801" s="271" t="s">
        <v>162</v>
      </c>
      <c r="S801" s="290">
        <f t="shared" ref="S801:S802" si="414">O801*Q801</f>
        <v>19</v>
      </c>
      <c r="T801" s="275"/>
      <c r="U801" s="290">
        <f t="shared" si="412"/>
        <v>19</v>
      </c>
      <c r="V801" s="276" t="s">
        <v>48</v>
      </c>
    </row>
    <row r="802" spans="1:22" s="172" customFormat="1" ht="20.25" customHeight="1">
      <c r="A802" s="263" t="str">
        <f t="shared" si="409"/>
        <v/>
      </c>
      <c r="B802" s="263"/>
      <c r="C802" s="264">
        <f t="shared" si="396"/>
        <v>801</v>
      </c>
      <c r="D802" s="277" t="s">
        <v>1416</v>
      </c>
      <c r="E802" s="293">
        <f t="shared" ref="E802" si="415">C801</f>
        <v>800</v>
      </c>
      <c r="F802" s="267" t="s">
        <v>44</v>
      </c>
      <c r="G802" s="267"/>
      <c r="H802" s="268"/>
      <c r="I802" s="268"/>
      <c r="J802" s="316">
        <v>3</v>
      </c>
      <c r="K802" s="322" t="s">
        <v>1842</v>
      </c>
      <c r="L802" s="367" t="str">
        <f>J802&amp;" "&amp;K802</f>
        <v>3 budle</v>
      </c>
      <c r="M802" s="319">
        <v>3</v>
      </c>
      <c r="N802" s="271" t="s">
        <v>81</v>
      </c>
      <c r="O802" s="318">
        <v>3</v>
      </c>
      <c r="P802" s="271" t="s">
        <v>81</v>
      </c>
      <c r="Q802" s="273">
        <v>2</v>
      </c>
      <c r="R802" s="271" t="s">
        <v>162</v>
      </c>
      <c r="S802" s="290">
        <f t="shared" si="414"/>
        <v>6</v>
      </c>
      <c r="T802" s="275"/>
      <c r="U802" s="290">
        <f t="shared" si="412"/>
        <v>6</v>
      </c>
      <c r="V802" s="276" t="s">
        <v>48</v>
      </c>
    </row>
    <row r="803" spans="1:22" s="172" customFormat="1" ht="20.25" customHeight="1">
      <c r="A803" s="263">
        <f t="shared" si="409"/>
        <v>802</v>
      </c>
      <c r="B803" s="263" t="s">
        <v>1263</v>
      </c>
      <c r="C803" s="264">
        <f t="shared" si="396"/>
        <v>802</v>
      </c>
      <c r="D803" s="265" t="s">
        <v>1417</v>
      </c>
      <c r="E803" s="279">
        <f>C800</f>
        <v>799</v>
      </c>
      <c r="F803" s="267"/>
      <c r="G803" s="267"/>
      <c r="H803" s="268"/>
      <c r="I803" s="268"/>
      <c r="J803" s="269"/>
      <c r="K803" s="269"/>
      <c r="L803" s="269"/>
      <c r="M803" s="319"/>
      <c r="N803" s="271"/>
      <c r="O803" s="280"/>
      <c r="P803" s="271"/>
      <c r="Q803" s="281"/>
      <c r="R803" s="271"/>
      <c r="S803" s="312"/>
      <c r="T803" s="282"/>
      <c r="U803" s="312"/>
      <c r="V803" s="276"/>
    </row>
    <row r="804" spans="1:22" s="172" customFormat="1" ht="20.25" customHeight="1">
      <c r="A804" s="263" t="str">
        <f t="shared" si="409"/>
        <v/>
      </c>
      <c r="B804" s="263"/>
      <c r="C804" s="264">
        <f t="shared" si="396"/>
        <v>803</v>
      </c>
      <c r="D804" s="277" t="s">
        <v>1417</v>
      </c>
      <c r="E804" s="293"/>
      <c r="F804" s="267" t="s">
        <v>55</v>
      </c>
      <c r="G804" s="267"/>
      <c r="H804" s="322">
        <v>14</v>
      </c>
      <c r="I804" s="322" t="s">
        <v>1112</v>
      </c>
      <c r="J804" s="269"/>
      <c r="K804" s="269"/>
      <c r="L804" s="269"/>
      <c r="M804" s="319">
        <v>3</v>
      </c>
      <c r="N804" s="271" t="s">
        <v>206</v>
      </c>
      <c r="O804" s="272">
        <v>1</v>
      </c>
      <c r="P804" s="271" t="s">
        <v>84</v>
      </c>
      <c r="Q804" s="273">
        <v>10</v>
      </c>
      <c r="R804" s="271" t="s">
        <v>41</v>
      </c>
      <c r="S804" s="290">
        <f t="shared" ref="S804" si="416">O804*Q804</f>
        <v>10</v>
      </c>
      <c r="T804" s="275"/>
      <c r="U804" s="290">
        <f t="shared" si="412"/>
        <v>10</v>
      </c>
      <c r="V804" s="276" t="s">
        <v>42</v>
      </c>
    </row>
    <row r="805" spans="1:22" s="172" customFormat="1" ht="20.25" customHeight="1">
      <c r="A805" s="263">
        <f t="shared" si="409"/>
        <v>804</v>
      </c>
      <c r="B805" s="263" t="s">
        <v>1263</v>
      </c>
      <c r="C805" s="264">
        <f t="shared" si="396"/>
        <v>804</v>
      </c>
      <c r="D805" s="265" t="s">
        <v>1418</v>
      </c>
      <c r="E805" s="279">
        <f>C803</f>
        <v>802</v>
      </c>
      <c r="F805" s="267"/>
      <c r="G805" s="267"/>
      <c r="H805" s="268"/>
      <c r="I805" s="268"/>
      <c r="J805" s="269"/>
      <c r="K805" s="269"/>
      <c r="L805" s="269"/>
      <c r="M805" s="319"/>
      <c r="N805" s="271"/>
      <c r="O805" s="280"/>
      <c r="P805" s="271"/>
      <c r="Q805" s="281"/>
      <c r="R805" s="271"/>
      <c r="S805" s="312"/>
      <c r="T805" s="282"/>
      <c r="U805" s="312"/>
      <c r="V805" s="276"/>
    </row>
    <row r="806" spans="1:22" s="172" customFormat="1" ht="20.25" customHeight="1">
      <c r="A806" s="263" t="str">
        <f t="shared" si="409"/>
        <v/>
      </c>
      <c r="B806" s="263"/>
      <c r="C806" s="264">
        <f t="shared" si="396"/>
        <v>805</v>
      </c>
      <c r="D806" s="277" t="s">
        <v>1419</v>
      </c>
      <c r="E806" s="293"/>
      <c r="F806" s="267" t="s">
        <v>44</v>
      </c>
      <c r="G806" s="267"/>
      <c r="H806" s="268"/>
      <c r="I806" s="268"/>
      <c r="J806" s="269"/>
      <c r="K806" s="269"/>
      <c r="L806" s="269"/>
      <c r="M806" s="319">
        <v>3</v>
      </c>
      <c r="N806" s="271" t="s">
        <v>206</v>
      </c>
      <c r="O806" s="272">
        <v>4</v>
      </c>
      <c r="P806" s="271" t="s">
        <v>206</v>
      </c>
      <c r="Q806" s="273">
        <v>6</v>
      </c>
      <c r="R806" s="271" t="s">
        <v>48</v>
      </c>
      <c r="S806" s="290">
        <f t="shared" ref="S806:S807" si="417">O806*Q806</f>
        <v>24</v>
      </c>
      <c r="T806" s="275"/>
      <c r="U806" s="290">
        <f t="shared" si="412"/>
        <v>24</v>
      </c>
      <c r="V806" s="302" t="s">
        <v>48</v>
      </c>
    </row>
    <row r="807" spans="1:22" s="172" customFormat="1" ht="20.25" customHeight="1">
      <c r="A807" s="263" t="str">
        <f t="shared" si="409"/>
        <v/>
      </c>
      <c r="B807" s="263"/>
      <c r="C807" s="264">
        <f t="shared" si="396"/>
        <v>806</v>
      </c>
      <c r="D807" s="277" t="s">
        <v>1420</v>
      </c>
      <c r="E807" s="293">
        <f t="shared" ref="E807" si="418">C806</f>
        <v>805</v>
      </c>
      <c r="F807" s="267" t="s">
        <v>63</v>
      </c>
      <c r="G807" s="267"/>
      <c r="H807" s="268"/>
      <c r="I807" s="268"/>
      <c r="J807" s="269"/>
      <c r="K807" s="269"/>
      <c r="L807" s="269"/>
      <c r="M807" s="319">
        <v>9</v>
      </c>
      <c r="N807" s="271" t="s">
        <v>81</v>
      </c>
      <c r="O807" s="327">
        <f>1308*9*2</f>
        <v>23544</v>
      </c>
      <c r="P807" s="296" t="s">
        <v>1274</v>
      </c>
      <c r="Q807" s="324">
        <f>1/100</f>
        <v>0.01</v>
      </c>
      <c r="R807" s="271"/>
      <c r="S807" s="290">
        <f t="shared" si="417"/>
        <v>235.44</v>
      </c>
      <c r="T807" s="275"/>
      <c r="U807" s="290">
        <f t="shared" si="412"/>
        <v>235.44</v>
      </c>
      <c r="V807" s="276" t="s">
        <v>42</v>
      </c>
    </row>
    <row r="808" spans="1:22" s="172" customFormat="1" ht="20.25" customHeight="1">
      <c r="A808" s="263">
        <f t="shared" si="409"/>
        <v>807</v>
      </c>
      <c r="B808" s="263" t="s">
        <v>1263</v>
      </c>
      <c r="C808" s="264">
        <f t="shared" si="396"/>
        <v>807</v>
      </c>
      <c r="D808" s="265" t="s">
        <v>1421</v>
      </c>
      <c r="E808" s="279">
        <f>C805</f>
        <v>804</v>
      </c>
      <c r="F808" s="267"/>
      <c r="G808" s="267"/>
      <c r="H808" s="268"/>
      <c r="I808" s="268"/>
      <c r="J808" s="269"/>
      <c r="K808" s="269"/>
      <c r="L808" s="269"/>
      <c r="M808" s="319"/>
      <c r="N808" s="271"/>
      <c r="O808" s="280"/>
      <c r="P808" s="271"/>
      <c r="Q808" s="281"/>
      <c r="R808" s="271"/>
      <c r="S808" s="312"/>
      <c r="T808" s="282"/>
      <c r="U808" s="312"/>
      <c r="V808" s="276"/>
    </row>
    <row r="809" spans="1:22" s="172" customFormat="1" ht="20.25" customHeight="1">
      <c r="A809" s="263" t="str">
        <f t="shared" si="409"/>
        <v/>
      </c>
      <c r="B809" s="263"/>
      <c r="C809" s="264">
        <f t="shared" si="396"/>
        <v>808</v>
      </c>
      <c r="D809" s="277" t="s">
        <v>1422</v>
      </c>
      <c r="E809" s="293"/>
      <c r="F809" s="267" t="s">
        <v>44</v>
      </c>
      <c r="G809" s="267"/>
      <c r="H809" s="268"/>
      <c r="I809" s="268"/>
      <c r="J809" s="269"/>
      <c r="K809" s="269"/>
      <c r="L809" s="269"/>
      <c r="M809" s="319">
        <v>3</v>
      </c>
      <c r="N809" s="271" t="s">
        <v>81</v>
      </c>
      <c r="O809" s="327">
        <f t="shared" ref="O809" si="419">M809</f>
        <v>3</v>
      </c>
      <c r="P809" s="271" t="s">
        <v>81</v>
      </c>
      <c r="Q809" s="273">
        <v>0.25</v>
      </c>
      <c r="R809" s="271" t="s">
        <v>162</v>
      </c>
      <c r="S809" s="290">
        <f t="shared" ref="S809:S813" si="420">O809*Q809</f>
        <v>0.75</v>
      </c>
      <c r="T809" s="275"/>
      <c r="U809" s="290">
        <f t="shared" si="412"/>
        <v>0.75</v>
      </c>
      <c r="V809" s="276" t="s">
        <v>48</v>
      </c>
    </row>
    <row r="810" spans="1:22" s="172" customFormat="1" ht="20.25" customHeight="1">
      <c r="A810" s="263" t="str">
        <f t="shared" si="409"/>
        <v/>
      </c>
      <c r="B810" s="263"/>
      <c r="C810" s="264">
        <f t="shared" si="396"/>
        <v>809</v>
      </c>
      <c r="D810" s="277" t="s">
        <v>1423</v>
      </c>
      <c r="E810" s="293">
        <f t="shared" ref="E810:E813" si="421">C809</f>
        <v>808</v>
      </c>
      <c r="F810" s="267" t="s">
        <v>44</v>
      </c>
      <c r="G810" s="267"/>
      <c r="H810" s="268"/>
      <c r="I810" s="268"/>
      <c r="J810" s="269"/>
      <c r="K810" s="269"/>
      <c r="L810" s="269"/>
      <c r="M810" s="319">
        <v>3</v>
      </c>
      <c r="N810" s="271" t="s">
        <v>81</v>
      </c>
      <c r="O810" s="272">
        <v>1</v>
      </c>
      <c r="P810" s="271" t="s">
        <v>84</v>
      </c>
      <c r="Q810" s="273">
        <v>1</v>
      </c>
      <c r="R810" s="271" t="s">
        <v>48</v>
      </c>
      <c r="S810" s="290">
        <f t="shared" si="420"/>
        <v>1</v>
      </c>
      <c r="T810" s="275"/>
      <c r="U810" s="290">
        <f t="shared" si="412"/>
        <v>1</v>
      </c>
      <c r="V810" s="276" t="s">
        <v>48</v>
      </c>
    </row>
    <row r="811" spans="1:22" s="172" customFormat="1" ht="20.25" customHeight="1">
      <c r="A811" s="263" t="str">
        <f t="shared" si="409"/>
        <v/>
      </c>
      <c r="B811" s="263"/>
      <c r="C811" s="264">
        <f t="shared" si="396"/>
        <v>810</v>
      </c>
      <c r="D811" s="277" t="s">
        <v>1424</v>
      </c>
      <c r="E811" s="293">
        <f t="shared" si="421"/>
        <v>809</v>
      </c>
      <c r="F811" s="267" t="s">
        <v>55</v>
      </c>
      <c r="G811" s="267"/>
      <c r="H811" s="268"/>
      <c r="I811" s="268"/>
      <c r="J811" s="269"/>
      <c r="K811" s="269"/>
      <c r="L811" s="269"/>
      <c r="M811" s="319">
        <v>3</v>
      </c>
      <c r="N811" s="271" t="s">
        <v>81</v>
      </c>
      <c r="O811" s="272">
        <v>1</v>
      </c>
      <c r="P811" s="271" t="s">
        <v>84</v>
      </c>
      <c r="Q811" s="273">
        <v>5</v>
      </c>
      <c r="R811" s="271" t="s">
        <v>41</v>
      </c>
      <c r="S811" s="290">
        <f t="shared" si="420"/>
        <v>5</v>
      </c>
      <c r="T811" s="275"/>
      <c r="U811" s="290">
        <f t="shared" si="412"/>
        <v>5</v>
      </c>
      <c r="V811" s="276" t="s">
        <v>42</v>
      </c>
    </row>
    <row r="812" spans="1:22" s="172" customFormat="1" ht="20.25" customHeight="1">
      <c r="A812" s="263" t="str">
        <f t="shared" si="409"/>
        <v/>
      </c>
      <c r="B812" s="263"/>
      <c r="C812" s="264">
        <f t="shared" si="396"/>
        <v>811</v>
      </c>
      <c r="D812" s="277" t="s">
        <v>1425</v>
      </c>
      <c r="E812" s="293">
        <f t="shared" si="421"/>
        <v>810</v>
      </c>
      <c r="F812" s="267" t="s">
        <v>55</v>
      </c>
      <c r="G812" s="267"/>
      <c r="H812" s="268"/>
      <c r="I812" s="268"/>
      <c r="J812" s="269"/>
      <c r="K812" s="269"/>
      <c r="L812" s="269"/>
      <c r="M812" s="319">
        <v>3</v>
      </c>
      <c r="N812" s="271" t="s">
        <v>81</v>
      </c>
      <c r="O812" s="272">
        <v>1</v>
      </c>
      <c r="P812" s="271" t="s">
        <v>84</v>
      </c>
      <c r="Q812" s="273">
        <v>5</v>
      </c>
      <c r="R812" s="271" t="s">
        <v>41</v>
      </c>
      <c r="S812" s="290">
        <f t="shared" si="420"/>
        <v>5</v>
      </c>
      <c r="T812" s="275"/>
      <c r="U812" s="290">
        <f t="shared" si="412"/>
        <v>5</v>
      </c>
      <c r="V812" s="276" t="s">
        <v>42</v>
      </c>
    </row>
    <row r="813" spans="1:22" s="172" customFormat="1" ht="20.25" customHeight="1">
      <c r="A813" s="263" t="str">
        <f t="shared" si="409"/>
        <v/>
      </c>
      <c r="B813" s="263"/>
      <c r="C813" s="264">
        <f t="shared" si="396"/>
        <v>812</v>
      </c>
      <c r="D813" s="277" t="s">
        <v>1426</v>
      </c>
      <c r="E813" s="293">
        <f t="shared" si="421"/>
        <v>811</v>
      </c>
      <c r="F813" s="267" t="s">
        <v>217</v>
      </c>
      <c r="G813" s="267"/>
      <c r="H813" s="268"/>
      <c r="I813" s="268"/>
      <c r="J813" s="269"/>
      <c r="K813" s="269"/>
      <c r="L813" s="269"/>
      <c r="M813" s="319">
        <v>3</v>
      </c>
      <c r="N813" s="271" t="s">
        <v>81</v>
      </c>
      <c r="O813" s="272">
        <v>1</v>
      </c>
      <c r="P813" s="271" t="s">
        <v>84</v>
      </c>
      <c r="Q813" s="273">
        <v>1</v>
      </c>
      <c r="R813" s="271" t="s">
        <v>41</v>
      </c>
      <c r="S813" s="290">
        <f t="shared" si="420"/>
        <v>1</v>
      </c>
      <c r="T813" s="275"/>
      <c r="U813" s="290">
        <f t="shared" si="412"/>
        <v>1</v>
      </c>
      <c r="V813" s="276" t="s">
        <v>42</v>
      </c>
    </row>
    <row r="814" spans="1:22" s="172" customFormat="1" ht="20.25" customHeight="1">
      <c r="A814" s="263">
        <f t="shared" si="409"/>
        <v>813</v>
      </c>
      <c r="B814" s="263" t="s">
        <v>1263</v>
      </c>
      <c r="C814" s="264">
        <f t="shared" si="396"/>
        <v>813</v>
      </c>
      <c r="D814" s="265" t="s">
        <v>1427</v>
      </c>
      <c r="E814" s="279">
        <f>C808</f>
        <v>807</v>
      </c>
      <c r="F814" s="267"/>
      <c r="G814" s="267"/>
      <c r="H814" s="268"/>
      <c r="I814" s="268"/>
      <c r="J814" s="269"/>
      <c r="K814" s="269"/>
      <c r="L814" s="269"/>
      <c r="M814" s="319"/>
      <c r="N814" s="271"/>
      <c r="O814" s="280"/>
      <c r="P814" s="271"/>
      <c r="Q814" s="281"/>
      <c r="R814" s="271"/>
      <c r="S814" s="312"/>
      <c r="T814" s="282"/>
      <c r="U814" s="312"/>
      <c r="V814" s="276"/>
    </row>
    <row r="815" spans="1:22" s="172" customFormat="1" ht="20.25" customHeight="1">
      <c r="A815" s="263" t="str">
        <f t="shared" si="409"/>
        <v/>
      </c>
      <c r="B815" s="263"/>
      <c r="C815" s="264">
        <f t="shared" si="396"/>
        <v>814</v>
      </c>
      <c r="D815" s="277" t="s">
        <v>1428</v>
      </c>
      <c r="E815" s="293"/>
      <c r="F815" s="267"/>
      <c r="G815" s="267"/>
      <c r="H815" s="268"/>
      <c r="I815" s="268"/>
      <c r="J815" s="269"/>
      <c r="K815" s="269"/>
      <c r="L815" s="269"/>
      <c r="M815" s="319">
        <v>2</v>
      </c>
      <c r="N815" s="271" t="s">
        <v>81</v>
      </c>
      <c r="O815" s="318">
        <v>1</v>
      </c>
      <c r="P815" s="271" t="s">
        <v>84</v>
      </c>
      <c r="Q815" s="273">
        <v>4</v>
      </c>
      <c r="R815" s="271" t="s">
        <v>41</v>
      </c>
      <c r="S815" s="290">
        <f t="shared" ref="S815:S817" si="422">O815*Q815</f>
        <v>4</v>
      </c>
      <c r="T815" s="275"/>
      <c r="U815" s="290">
        <f t="shared" si="412"/>
        <v>4</v>
      </c>
      <c r="V815" s="276" t="s">
        <v>42</v>
      </c>
    </row>
    <row r="816" spans="1:22" s="172" customFormat="1" ht="20.25" customHeight="1">
      <c r="A816" s="263" t="str">
        <f t="shared" si="409"/>
        <v/>
      </c>
      <c r="B816" s="263"/>
      <c r="C816" s="264">
        <f t="shared" si="396"/>
        <v>815</v>
      </c>
      <c r="D816" s="277" t="s">
        <v>1429</v>
      </c>
      <c r="E816" s="293">
        <f t="shared" ref="E816:E817" si="423">C815</f>
        <v>814</v>
      </c>
      <c r="F816" s="267" t="s">
        <v>55</v>
      </c>
      <c r="G816" s="267"/>
      <c r="H816" s="316">
        <v>20</v>
      </c>
      <c r="I816" s="316"/>
      <c r="J816" s="269"/>
      <c r="K816" s="269"/>
      <c r="L816" s="269"/>
      <c r="M816" s="319">
        <v>2</v>
      </c>
      <c r="N816" s="271" t="s">
        <v>81</v>
      </c>
      <c r="O816" s="272">
        <v>1</v>
      </c>
      <c r="P816" s="271" t="s">
        <v>84</v>
      </c>
      <c r="Q816" s="273">
        <v>1</v>
      </c>
      <c r="R816" s="271" t="s">
        <v>41</v>
      </c>
      <c r="S816" s="290">
        <f t="shared" si="422"/>
        <v>1</v>
      </c>
      <c r="T816" s="275"/>
      <c r="U816" s="290">
        <f t="shared" si="412"/>
        <v>1</v>
      </c>
      <c r="V816" s="276" t="s">
        <v>42</v>
      </c>
    </row>
    <row r="817" spans="1:22" s="172" customFormat="1" ht="20.25" customHeight="1">
      <c r="A817" s="263" t="str">
        <f t="shared" si="409"/>
        <v/>
      </c>
      <c r="B817" s="263"/>
      <c r="C817" s="264">
        <f t="shared" si="396"/>
        <v>816</v>
      </c>
      <c r="D817" s="277" t="s">
        <v>1430</v>
      </c>
      <c r="E817" s="293">
        <f t="shared" si="423"/>
        <v>815</v>
      </c>
      <c r="F817" s="267" t="s">
        <v>55</v>
      </c>
      <c r="G817" s="267"/>
      <c r="H817" s="268"/>
      <c r="I817" s="268"/>
      <c r="J817" s="269"/>
      <c r="K817" s="269"/>
      <c r="L817" s="269"/>
      <c r="M817" s="319">
        <v>2</v>
      </c>
      <c r="N817" s="271" t="s">
        <v>81</v>
      </c>
      <c r="O817" s="272">
        <v>1</v>
      </c>
      <c r="P817" s="271" t="s">
        <v>84</v>
      </c>
      <c r="Q817" s="273">
        <v>5</v>
      </c>
      <c r="R817" s="271" t="s">
        <v>41</v>
      </c>
      <c r="S817" s="290">
        <f t="shared" si="422"/>
        <v>5</v>
      </c>
      <c r="T817" s="275"/>
      <c r="U817" s="290">
        <f t="shared" si="412"/>
        <v>5</v>
      </c>
      <c r="V817" s="276" t="s">
        <v>42</v>
      </c>
    </row>
    <row r="818" spans="1:22" s="172" customFormat="1" ht="20.25" customHeight="1">
      <c r="A818" s="263">
        <f t="shared" si="409"/>
        <v>817</v>
      </c>
      <c r="B818" s="263" t="s">
        <v>1263</v>
      </c>
      <c r="C818" s="264">
        <f t="shared" si="396"/>
        <v>817</v>
      </c>
      <c r="D818" s="265" t="s">
        <v>1431</v>
      </c>
      <c r="E818" s="279">
        <f>C814</f>
        <v>813</v>
      </c>
      <c r="F818" s="267"/>
      <c r="G818" s="267"/>
      <c r="H818" s="268"/>
      <c r="I818" s="268"/>
      <c r="J818" s="269"/>
      <c r="K818" s="269"/>
      <c r="L818" s="269"/>
      <c r="M818" s="319"/>
      <c r="N818" s="271"/>
      <c r="O818" s="280"/>
      <c r="P818" s="271"/>
      <c r="Q818" s="281"/>
      <c r="R818" s="271"/>
      <c r="S818" s="312"/>
      <c r="T818" s="282"/>
      <c r="U818" s="312"/>
      <c r="V818" s="276"/>
    </row>
    <row r="819" spans="1:22" s="172" customFormat="1" ht="20.25" customHeight="1">
      <c r="A819" s="263" t="str">
        <f t="shared" si="409"/>
        <v/>
      </c>
      <c r="B819" s="263"/>
      <c r="C819" s="264">
        <f t="shared" si="396"/>
        <v>818</v>
      </c>
      <c r="D819" s="277" t="s">
        <v>1432</v>
      </c>
      <c r="E819" s="293"/>
      <c r="F819" s="267" t="s">
        <v>224</v>
      </c>
      <c r="G819" s="267"/>
      <c r="H819" s="268"/>
      <c r="I819" s="268"/>
      <c r="J819" s="269"/>
      <c r="K819" s="269"/>
      <c r="L819" s="269"/>
      <c r="M819" s="319">
        <v>2</v>
      </c>
      <c r="N819" s="271" t="s">
        <v>81</v>
      </c>
      <c r="O819" s="327">
        <f t="shared" ref="O819:O820" si="424">M819</f>
        <v>2</v>
      </c>
      <c r="P819" s="271" t="s">
        <v>81</v>
      </c>
      <c r="Q819" s="273">
        <v>2</v>
      </c>
      <c r="R819" s="271" t="s">
        <v>162</v>
      </c>
      <c r="S819" s="290">
        <f t="shared" ref="S819:S820" si="425">O819*Q819</f>
        <v>4</v>
      </c>
      <c r="T819" s="275"/>
      <c r="U819" s="290">
        <f t="shared" si="412"/>
        <v>4</v>
      </c>
      <c r="V819" s="302" t="s">
        <v>48</v>
      </c>
    </row>
    <row r="820" spans="1:22" s="172" customFormat="1" ht="20.25" customHeight="1">
      <c r="A820" s="263" t="str">
        <f t="shared" si="409"/>
        <v/>
      </c>
      <c r="B820" s="263"/>
      <c r="C820" s="264">
        <f t="shared" si="396"/>
        <v>819</v>
      </c>
      <c r="D820" s="277" t="s">
        <v>1433</v>
      </c>
      <c r="E820" s="293">
        <f t="shared" ref="E820" si="426">C819</f>
        <v>818</v>
      </c>
      <c r="F820" s="267" t="s">
        <v>44</v>
      </c>
      <c r="G820" s="267"/>
      <c r="H820" s="268"/>
      <c r="I820" s="268"/>
      <c r="J820" s="269"/>
      <c r="K820" s="269"/>
      <c r="L820" s="269"/>
      <c r="M820" s="319">
        <v>2</v>
      </c>
      <c r="N820" s="271" t="s">
        <v>81</v>
      </c>
      <c r="O820" s="327">
        <f t="shared" si="424"/>
        <v>2</v>
      </c>
      <c r="P820" s="271" t="s">
        <v>81</v>
      </c>
      <c r="Q820" s="273">
        <v>0.5</v>
      </c>
      <c r="R820" s="271" t="s">
        <v>162</v>
      </c>
      <c r="S820" s="290">
        <f t="shared" si="425"/>
        <v>1</v>
      </c>
      <c r="T820" s="275"/>
      <c r="U820" s="290">
        <f t="shared" si="412"/>
        <v>1</v>
      </c>
      <c r="V820" s="302" t="s">
        <v>48</v>
      </c>
    </row>
    <row r="821" spans="1:22" s="172" customFormat="1" ht="20.25" customHeight="1">
      <c r="A821" s="263">
        <f t="shared" si="409"/>
        <v>820</v>
      </c>
      <c r="B821" s="263" t="s">
        <v>1263</v>
      </c>
      <c r="C821" s="264">
        <f t="shared" si="396"/>
        <v>820</v>
      </c>
      <c r="D821" s="265" t="s">
        <v>1434</v>
      </c>
      <c r="E821" s="279">
        <f>C818</f>
        <v>817</v>
      </c>
      <c r="F821" s="267"/>
      <c r="G821" s="267"/>
      <c r="H821" s="268"/>
      <c r="I821" s="268"/>
      <c r="J821" s="269"/>
      <c r="K821" s="269"/>
      <c r="L821" s="269"/>
      <c r="M821" s="319"/>
      <c r="N821" s="271"/>
      <c r="O821" s="280"/>
      <c r="P821" s="271"/>
      <c r="Q821" s="281"/>
      <c r="R821" s="271"/>
      <c r="S821" s="312"/>
      <c r="T821" s="282"/>
      <c r="U821" s="312"/>
      <c r="V821" s="276"/>
    </row>
    <row r="822" spans="1:22" s="172" customFormat="1" ht="20.25" customHeight="1">
      <c r="A822" s="263" t="str">
        <f t="shared" si="409"/>
        <v/>
      </c>
      <c r="B822" s="263"/>
      <c r="C822" s="264">
        <f t="shared" si="396"/>
        <v>821</v>
      </c>
      <c r="D822" s="277" t="s">
        <v>1435</v>
      </c>
      <c r="E822" s="293">
        <f t="shared" ref="E822" si="427">C821</f>
        <v>820</v>
      </c>
      <c r="F822" s="267" t="s">
        <v>55</v>
      </c>
      <c r="G822" s="267"/>
      <c r="H822" s="322">
        <v>20</v>
      </c>
      <c r="I822" s="322" t="s">
        <v>1112</v>
      </c>
      <c r="J822" s="269"/>
      <c r="K822" s="269"/>
      <c r="L822" s="269"/>
      <c r="M822" s="319">
        <v>1</v>
      </c>
      <c r="N822" s="271" t="s">
        <v>206</v>
      </c>
      <c r="O822" s="272">
        <v>1</v>
      </c>
      <c r="P822" s="271" t="s">
        <v>84</v>
      </c>
      <c r="Q822" s="273">
        <v>10</v>
      </c>
      <c r="R822" s="271" t="s">
        <v>41</v>
      </c>
      <c r="S822" s="290">
        <f t="shared" ref="S822" si="428">O822*Q822</f>
        <v>10</v>
      </c>
      <c r="T822" s="275"/>
      <c r="U822" s="290">
        <f t="shared" si="412"/>
        <v>10</v>
      </c>
      <c r="V822" s="276"/>
    </row>
    <row r="823" spans="1:22" s="172" customFormat="1" ht="20.25" customHeight="1">
      <c r="A823" s="263">
        <f t="shared" si="409"/>
        <v>822</v>
      </c>
      <c r="B823" s="263" t="s">
        <v>1263</v>
      </c>
      <c r="C823" s="264">
        <f t="shared" si="396"/>
        <v>822</v>
      </c>
      <c r="D823" s="265" t="s">
        <v>1436</v>
      </c>
      <c r="E823" s="279">
        <f>C821</f>
        <v>820</v>
      </c>
      <c r="F823" s="267"/>
      <c r="G823" s="267"/>
      <c r="H823" s="268"/>
      <c r="I823" s="268"/>
      <c r="J823" s="269"/>
      <c r="K823" s="269"/>
      <c r="L823" s="269"/>
      <c r="M823" s="319"/>
      <c r="N823" s="271"/>
      <c r="O823" s="280"/>
      <c r="P823" s="271"/>
      <c r="Q823" s="281"/>
      <c r="R823" s="271"/>
      <c r="S823" s="312"/>
      <c r="T823" s="282"/>
      <c r="U823" s="312"/>
      <c r="V823" s="276"/>
    </row>
    <row r="824" spans="1:22" s="172" customFormat="1" ht="20.25" customHeight="1">
      <c r="A824" s="263" t="str">
        <f t="shared" si="409"/>
        <v/>
      </c>
      <c r="B824" s="263"/>
      <c r="C824" s="264">
        <f t="shared" si="396"/>
        <v>823</v>
      </c>
      <c r="D824" s="277" t="s">
        <v>1437</v>
      </c>
      <c r="E824" s="293"/>
      <c r="F824" s="267" t="s">
        <v>44</v>
      </c>
      <c r="G824" s="267"/>
      <c r="H824" s="268"/>
      <c r="I824" s="268"/>
      <c r="J824" s="269"/>
      <c r="K824" s="269"/>
      <c r="L824" s="269"/>
      <c r="M824" s="319">
        <v>1</v>
      </c>
      <c r="N824" s="271" t="s">
        <v>206</v>
      </c>
      <c r="O824" s="272">
        <v>1</v>
      </c>
      <c r="P824" s="271" t="s">
        <v>206</v>
      </c>
      <c r="Q824" s="273">
        <v>3</v>
      </c>
      <c r="R824" s="271" t="s">
        <v>48</v>
      </c>
      <c r="S824" s="290">
        <f t="shared" ref="S824:S825" si="429">O824*Q824</f>
        <v>3</v>
      </c>
      <c r="T824" s="275"/>
      <c r="U824" s="290">
        <f t="shared" si="412"/>
        <v>3</v>
      </c>
      <c r="V824" s="276" t="s">
        <v>48</v>
      </c>
    </row>
    <row r="825" spans="1:22" s="172" customFormat="1" ht="20.25" customHeight="1">
      <c r="A825" s="263" t="str">
        <f t="shared" si="409"/>
        <v/>
      </c>
      <c r="B825" s="263"/>
      <c r="C825" s="264">
        <f t="shared" si="396"/>
        <v>824</v>
      </c>
      <c r="D825" s="277" t="s">
        <v>1438</v>
      </c>
      <c r="E825" s="293">
        <f t="shared" ref="E825" si="430">C824</f>
        <v>823</v>
      </c>
      <c r="F825" s="267" t="s">
        <v>63</v>
      </c>
      <c r="G825" s="267"/>
      <c r="H825" s="268"/>
      <c r="I825" s="268"/>
      <c r="J825" s="269"/>
      <c r="K825" s="269"/>
      <c r="L825" s="269"/>
      <c r="M825" s="319">
        <v>2</v>
      </c>
      <c r="N825" s="271" t="s">
        <v>232</v>
      </c>
      <c r="O825" s="327">
        <f>1308*2*1</f>
        <v>2616</v>
      </c>
      <c r="P825" s="296" t="s">
        <v>1274</v>
      </c>
      <c r="Q825" s="324">
        <f>1/100</f>
        <v>0.01</v>
      </c>
      <c r="R825" s="271"/>
      <c r="S825" s="290">
        <f t="shared" si="429"/>
        <v>26.16</v>
      </c>
      <c r="T825" s="275"/>
      <c r="U825" s="290">
        <f t="shared" si="412"/>
        <v>26.16</v>
      </c>
      <c r="V825" s="276"/>
    </row>
    <row r="826" spans="1:22" s="172" customFormat="1" ht="20.25" customHeight="1">
      <c r="A826" s="263">
        <f t="shared" si="409"/>
        <v>825</v>
      </c>
      <c r="B826" s="263" t="s">
        <v>1263</v>
      </c>
      <c r="C826" s="264">
        <f t="shared" si="396"/>
        <v>825</v>
      </c>
      <c r="D826" s="265" t="s">
        <v>1439</v>
      </c>
      <c r="E826" s="279">
        <f>C1287</f>
        <v>1276</v>
      </c>
      <c r="F826" s="267"/>
      <c r="G826" s="267"/>
      <c r="H826" s="268"/>
      <c r="I826" s="268"/>
      <c r="J826" s="269"/>
      <c r="K826" s="269"/>
      <c r="L826" s="269"/>
      <c r="M826" s="319"/>
      <c r="N826" s="271"/>
      <c r="O826" s="280"/>
      <c r="P826" s="271"/>
      <c r="Q826" s="281"/>
      <c r="R826" s="271"/>
      <c r="S826" s="312"/>
      <c r="T826" s="282"/>
      <c r="U826" s="312"/>
      <c r="V826" s="276"/>
    </row>
    <row r="827" spans="1:22" s="172" customFormat="1" ht="20.25" customHeight="1">
      <c r="A827" s="263" t="str">
        <f t="shared" si="409"/>
        <v/>
      </c>
      <c r="B827" s="263"/>
      <c r="C827" s="264">
        <f t="shared" si="396"/>
        <v>826</v>
      </c>
      <c r="D827" s="277" t="s">
        <v>1440</v>
      </c>
      <c r="E827" s="293"/>
      <c r="F827" s="267"/>
      <c r="G827" s="267"/>
      <c r="H827" s="268"/>
      <c r="I827" s="268"/>
      <c r="J827" s="269"/>
      <c r="K827" s="269"/>
      <c r="L827" s="269"/>
      <c r="M827" s="319">
        <v>1</v>
      </c>
      <c r="N827" s="271" t="s">
        <v>81</v>
      </c>
      <c r="O827" s="327">
        <f t="shared" ref="O827:O830" si="431">M827</f>
        <v>1</v>
      </c>
      <c r="P827" s="271" t="s">
        <v>84</v>
      </c>
      <c r="Q827" s="273">
        <v>4</v>
      </c>
      <c r="R827" s="271" t="s">
        <v>41</v>
      </c>
      <c r="S827" s="290">
        <f t="shared" ref="S827:S830" si="432">O827*Q827</f>
        <v>4</v>
      </c>
      <c r="T827" s="275"/>
      <c r="U827" s="290">
        <f t="shared" si="412"/>
        <v>4</v>
      </c>
      <c r="V827" s="276" t="s">
        <v>42</v>
      </c>
    </row>
    <row r="828" spans="1:22" s="172" customFormat="1" ht="20.25" customHeight="1">
      <c r="A828" s="263" t="str">
        <f t="shared" si="409"/>
        <v/>
      </c>
      <c r="B828" s="263"/>
      <c r="C828" s="264">
        <f t="shared" si="396"/>
        <v>827</v>
      </c>
      <c r="D828" s="277" t="s">
        <v>1441</v>
      </c>
      <c r="E828" s="293">
        <f t="shared" ref="E828:E830" si="433">C827</f>
        <v>826</v>
      </c>
      <c r="F828" s="267" t="s">
        <v>44</v>
      </c>
      <c r="G828" s="267"/>
      <c r="H828" s="268"/>
      <c r="I828" s="268"/>
      <c r="J828" s="269"/>
      <c r="K828" s="269"/>
      <c r="L828" s="269"/>
      <c r="M828" s="319">
        <v>22</v>
      </c>
      <c r="N828" s="271" t="s">
        <v>81</v>
      </c>
      <c r="O828" s="321">
        <f t="shared" si="431"/>
        <v>22</v>
      </c>
      <c r="P828" s="271" t="s">
        <v>81</v>
      </c>
      <c r="Q828" s="273">
        <v>0.25</v>
      </c>
      <c r="R828" s="271" t="s">
        <v>162</v>
      </c>
      <c r="S828" s="290">
        <f t="shared" si="432"/>
        <v>5.5</v>
      </c>
      <c r="T828" s="275"/>
      <c r="U828" s="290">
        <f t="shared" si="412"/>
        <v>5.5</v>
      </c>
      <c r="V828" s="276" t="s">
        <v>48</v>
      </c>
    </row>
    <row r="829" spans="1:22" s="172" customFormat="1" ht="20.25" customHeight="1">
      <c r="A829" s="263" t="str">
        <f t="shared" si="409"/>
        <v/>
      </c>
      <c r="B829" s="263"/>
      <c r="C829" s="264">
        <f t="shared" si="396"/>
        <v>828</v>
      </c>
      <c r="D829" s="277" t="s">
        <v>1442</v>
      </c>
      <c r="E829" s="293">
        <f t="shared" si="433"/>
        <v>827</v>
      </c>
      <c r="F829" s="267" t="s">
        <v>238</v>
      </c>
      <c r="G829" s="267"/>
      <c r="H829" s="268"/>
      <c r="I829" s="268"/>
      <c r="J829" s="269"/>
      <c r="K829" s="269"/>
      <c r="L829" s="269"/>
      <c r="M829" s="319">
        <v>22</v>
      </c>
      <c r="N829" s="271" t="s">
        <v>81</v>
      </c>
      <c r="O829" s="321">
        <f t="shared" si="431"/>
        <v>22</v>
      </c>
      <c r="P829" s="271" t="s">
        <v>81</v>
      </c>
      <c r="Q829" s="273">
        <v>0.45</v>
      </c>
      <c r="R829" s="271" t="s">
        <v>162</v>
      </c>
      <c r="S829" s="290">
        <f t="shared" si="432"/>
        <v>9.9</v>
      </c>
      <c r="T829" s="275"/>
      <c r="U829" s="290">
        <f t="shared" si="412"/>
        <v>9.9</v>
      </c>
      <c r="V829" s="276" t="s">
        <v>48</v>
      </c>
    </row>
    <row r="830" spans="1:22" s="172" customFormat="1" ht="20.25" customHeight="1">
      <c r="A830" s="263" t="str">
        <f t="shared" si="409"/>
        <v/>
      </c>
      <c r="B830" s="263"/>
      <c r="C830" s="264">
        <f t="shared" si="396"/>
        <v>829</v>
      </c>
      <c r="D830" s="277" t="s">
        <v>1443</v>
      </c>
      <c r="E830" s="293">
        <f t="shared" si="433"/>
        <v>828</v>
      </c>
      <c r="F830" s="267" t="s">
        <v>240</v>
      </c>
      <c r="G830" s="267"/>
      <c r="H830" s="268"/>
      <c r="I830" s="268"/>
      <c r="J830" s="269"/>
      <c r="K830" s="269"/>
      <c r="L830" s="269"/>
      <c r="M830" s="319">
        <v>22</v>
      </c>
      <c r="N830" s="271" t="s">
        <v>81</v>
      </c>
      <c r="O830" s="321">
        <f t="shared" si="431"/>
        <v>22</v>
      </c>
      <c r="P830" s="271" t="s">
        <v>81</v>
      </c>
      <c r="Q830" s="273">
        <v>0.5</v>
      </c>
      <c r="R830" s="271" t="s">
        <v>162</v>
      </c>
      <c r="S830" s="290">
        <f t="shared" si="432"/>
        <v>11</v>
      </c>
      <c r="T830" s="275"/>
      <c r="U830" s="290">
        <f t="shared" si="412"/>
        <v>11</v>
      </c>
      <c r="V830" s="276" t="s">
        <v>48</v>
      </c>
    </row>
    <row r="831" spans="1:22" s="172" customFormat="1" ht="20.25" customHeight="1">
      <c r="A831" s="263">
        <f t="shared" si="409"/>
        <v>830</v>
      </c>
      <c r="B831" s="263" t="s">
        <v>1263</v>
      </c>
      <c r="C831" s="264">
        <f t="shared" si="396"/>
        <v>830</v>
      </c>
      <c r="D831" s="265" t="s">
        <v>1444</v>
      </c>
      <c r="E831" s="279">
        <f>C1286</f>
        <v>1275</v>
      </c>
      <c r="F831" s="267"/>
      <c r="G831" s="267"/>
      <c r="H831" s="268"/>
      <c r="I831" s="268"/>
      <c r="J831" s="269"/>
      <c r="K831" s="269"/>
      <c r="L831" s="269"/>
      <c r="M831" s="319"/>
      <c r="N831" s="271"/>
      <c r="O831" s="280"/>
      <c r="P831" s="271"/>
      <c r="Q831" s="281"/>
      <c r="R831" s="271"/>
      <c r="S831" s="312"/>
      <c r="T831" s="282"/>
      <c r="U831" s="312"/>
      <c r="V831" s="276"/>
    </row>
    <row r="832" spans="1:22" s="172" customFormat="1" ht="20.25" customHeight="1">
      <c r="A832" s="263" t="str">
        <f t="shared" si="409"/>
        <v/>
      </c>
      <c r="B832" s="263"/>
      <c r="C832" s="264">
        <f t="shared" si="396"/>
        <v>831</v>
      </c>
      <c r="D832" s="277" t="s">
        <v>1445</v>
      </c>
      <c r="E832" s="293"/>
      <c r="F832" s="267"/>
      <c r="G832" s="267"/>
      <c r="H832" s="268"/>
      <c r="I832" s="268"/>
      <c r="J832" s="269"/>
      <c r="K832" s="269"/>
      <c r="L832" s="269"/>
      <c r="M832" s="319">
        <v>1</v>
      </c>
      <c r="N832" s="271" t="s">
        <v>81</v>
      </c>
      <c r="O832" s="327">
        <f t="shared" ref="O832:O835" si="434">M832</f>
        <v>1</v>
      </c>
      <c r="P832" s="271" t="s">
        <v>84</v>
      </c>
      <c r="Q832" s="273">
        <v>4</v>
      </c>
      <c r="R832" s="271" t="s">
        <v>41</v>
      </c>
      <c r="S832" s="290">
        <f t="shared" ref="S832:S835" si="435">O832*Q832</f>
        <v>4</v>
      </c>
      <c r="T832" s="275"/>
      <c r="U832" s="290">
        <f t="shared" si="412"/>
        <v>4</v>
      </c>
      <c r="V832" s="276" t="s">
        <v>48</v>
      </c>
    </row>
    <row r="833" spans="1:22" s="172" customFormat="1" ht="20.25" customHeight="1">
      <c r="A833" s="263" t="str">
        <f t="shared" si="409"/>
        <v/>
      </c>
      <c r="B833" s="263"/>
      <c r="C833" s="264">
        <f t="shared" si="396"/>
        <v>832</v>
      </c>
      <c r="D833" s="277" t="s">
        <v>1446</v>
      </c>
      <c r="E833" s="293">
        <f t="shared" ref="E833:E835" si="436">C832</f>
        <v>831</v>
      </c>
      <c r="F833" s="267" t="s">
        <v>44</v>
      </c>
      <c r="G833" s="267"/>
      <c r="H833" s="268"/>
      <c r="I833" s="268"/>
      <c r="J833" s="269"/>
      <c r="K833" s="269"/>
      <c r="L833" s="269"/>
      <c r="M833" s="319">
        <v>414</v>
      </c>
      <c r="N833" s="271" t="s">
        <v>81</v>
      </c>
      <c r="O833" s="321">
        <f t="shared" si="434"/>
        <v>414</v>
      </c>
      <c r="P833" s="271" t="s">
        <v>81</v>
      </c>
      <c r="Q833" s="273">
        <v>0.1</v>
      </c>
      <c r="R833" s="271" t="s">
        <v>162</v>
      </c>
      <c r="S833" s="290">
        <f t="shared" si="435"/>
        <v>41.400000000000006</v>
      </c>
      <c r="T833" s="275"/>
      <c r="U833" s="290">
        <f t="shared" si="412"/>
        <v>41.4</v>
      </c>
      <c r="V833" s="276" t="s">
        <v>48</v>
      </c>
    </row>
    <row r="834" spans="1:22" s="172" customFormat="1" ht="20.25" customHeight="1">
      <c r="A834" s="263" t="str">
        <f t="shared" si="409"/>
        <v/>
      </c>
      <c r="B834" s="263"/>
      <c r="C834" s="264">
        <f t="shared" si="396"/>
        <v>833</v>
      </c>
      <c r="D834" s="277" t="s">
        <v>1447</v>
      </c>
      <c r="E834" s="293">
        <f t="shared" si="436"/>
        <v>832</v>
      </c>
      <c r="F834" s="267" t="s">
        <v>238</v>
      </c>
      <c r="G834" s="267"/>
      <c r="H834" s="268"/>
      <c r="I834" s="268"/>
      <c r="J834" s="269"/>
      <c r="K834" s="269"/>
      <c r="L834" s="269"/>
      <c r="M834" s="319">
        <v>414</v>
      </c>
      <c r="N834" s="271" t="s">
        <v>81</v>
      </c>
      <c r="O834" s="321">
        <f t="shared" si="434"/>
        <v>414</v>
      </c>
      <c r="P834" s="271" t="s">
        <v>81</v>
      </c>
      <c r="Q834" s="273">
        <v>0.1</v>
      </c>
      <c r="R834" s="271" t="s">
        <v>162</v>
      </c>
      <c r="S834" s="290">
        <f t="shared" si="435"/>
        <v>41.400000000000006</v>
      </c>
      <c r="T834" s="275"/>
      <c r="U834" s="290">
        <f t="shared" si="412"/>
        <v>41.4</v>
      </c>
      <c r="V834" s="276" t="s">
        <v>48</v>
      </c>
    </row>
    <row r="835" spans="1:22" s="172" customFormat="1" ht="20.25" customHeight="1">
      <c r="A835" s="263" t="str">
        <f t="shared" si="409"/>
        <v/>
      </c>
      <c r="B835" s="263"/>
      <c r="C835" s="264">
        <f t="shared" si="396"/>
        <v>834</v>
      </c>
      <c r="D835" s="277" t="s">
        <v>1448</v>
      </c>
      <c r="E835" s="293">
        <f t="shared" si="436"/>
        <v>833</v>
      </c>
      <c r="F835" s="267" t="s">
        <v>217</v>
      </c>
      <c r="G835" s="267"/>
      <c r="H835" s="268"/>
      <c r="I835" s="268"/>
      <c r="J835" s="269"/>
      <c r="K835" s="269"/>
      <c r="L835" s="269"/>
      <c r="M835" s="319">
        <v>414</v>
      </c>
      <c r="N835" s="271" t="s">
        <v>81</v>
      </c>
      <c r="O835" s="321">
        <f t="shared" si="434"/>
        <v>414</v>
      </c>
      <c r="P835" s="271" t="s">
        <v>81</v>
      </c>
      <c r="Q835" s="324">
        <f>1/60</f>
        <v>1.6666666666666666E-2</v>
      </c>
      <c r="R835" s="271" t="s">
        <v>162</v>
      </c>
      <c r="S835" s="290">
        <f t="shared" si="435"/>
        <v>6.8999999999999995</v>
      </c>
      <c r="T835" s="275"/>
      <c r="U835" s="290">
        <f t="shared" si="412"/>
        <v>6.9</v>
      </c>
      <c r="V835" s="276" t="s">
        <v>48</v>
      </c>
    </row>
    <row r="836" spans="1:22" s="172" customFormat="1" ht="20.25" customHeight="1">
      <c r="A836" s="263">
        <f t="shared" si="409"/>
        <v>835</v>
      </c>
      <c r="B836" s="263" t="s">
        <v>1263</v>
      </c>
      <c r="C836" s="264">
        <f t="shared" si="396"/>
        <v>835</v>
      </c>
      <c r="D836" s="265" t="s">
        <v>1449</v>
      </c>
      <c r="E836" s="279">
        <f>C1281</f>
        <v>1270</v>
      </c>
      <c r="F836" s="267"/>
      <c r="G836" s="267"/>
      <c r="H836" s="268"/>
      <c r="I836" s="268"/>
      <c r="J836" s="269"/>
      <c r="K836" s="269"/>
      <c r="L836" s="269"/>
      <c r="M836" s="319"/>
      <c r="N836" s="271"/>
      <c r="O836" s="280"/>
      <c r="P836" s="271"/>
      <c r="Q836" s="281"/>
      <c r="R836" s="271"/>
      <c r="S836" s="312"/>
      <c r="T836" s="282"/>
      <c r="U836" s="312"/>
      <c r="V836" s="276"/>
    </row>
    <row r="837" spans="1:22" s="172" customFormat="1" ht="20.25" customHeight="1">
      <c r="A837" s="263" t="str">
        <f t="shared" si="409"/>
        <v/>
      </c>
      <c r="B837" s="263"/>
      <c r="C837" s="264">
        <f t="shared" ref="C837:C900" si="437">C836+1</f>
        <v>836</v>
      </c>
      <c r="D837" s="277" t="s">
        <v>1450</v>
      </c>
      <c r="E837" s="293"/>
      <c r="F837" s="267" t="s">
        <v>44</v>
      </c>
      <c r="G837" s="267"/>
      <c r="H837" s="316">
        <v>8</v>
      </c>
      <c r="I837" s="316"/>
      <c r="J837" s="316">
        <v>9522</v>
      </c>
      <c r="K837" s="322" t="s">
        <v>1831</v>
      </c>
      <c r="L837" s="367" t="str">
        <f>J837&amp;" "&amp;K837</f>
        <v>9522 mm</v>
      </c>
      <c r="M837" s="319">
        <v>2</v>
      </c>
      <c r="N837" s="271" t="s">
        <v>81</v>
      </c>
      <c r="O837" s="297">
        <f>LEFT(L837,SEARCH(" ",L837,1)-1)*M837*0.001</f>
        <v>19.044</v>
      </c>
      <c r="P837" s="271" t="s">
        <v>249</v>
      </c>
      <c r="Q837" s="324">
        <f>VLOOKUP(H837,BM!$B$3:$Y$62,2,FALSE)</f>
        <v>0.1</v>
      </c>
      <c r="R837" s="271" t="s">
        <v>162</v>
      </c>
      <c r="S837" s="290">
        <f t="shared" ref="S837:S842" si="438">O837*Q837</f>
        <v>1.9044000000000001</v>
      </c>
      <c r="T837" s="275"/>
      <c r="U837" s="290">
        <f t="shared" si="412"/>
        <v>1.9</v>
      </c>
      <c r="V837" s="276" t="s">
        <v>48</v>
      </c>
    </row>
    <row r="838" spans="1:22" s="172" customFormat="1" ht="20.25" customHeight="1">
      <c r="A838" s="263" t="str">
        <f t="shared" si="409"/>
        <v/>
      </c>
      <c r="B838" s="263"/>
      <c r="C838" s="264">
        <f t="shared" si="437"/>
        <v>837</v>
      </c>
      <c r="D838" s="277" t="s">
        <v>1451</v>
      </c>
      <c r="E838" s="293">
        <f t="shared" ref="E838:E842" si="439">C837</f>
        <v>836</v>
      </c>
      <c r="F838" s="267" t="s">
        <v>52</v>
      </c>
      <c r="G838" s="267"/>
      <c r="H838" s="316">
        <v>25</v>
      </c>
      <c r="I838" s="316"/>
      <c r="J838" s="317">
        <f t="shared" ref="J838" si="440">J837</f>
        <v>9522</v>
      </c>
      <c r="K838" s="317" t="str">
        <f t="shared" ref="K838:L842" si="441">K837</f>
        <v>mm</v>
      </c>
      <c r="L838" s="367" t="str">
        <f t="shared" ref="L838" si="442">J838&amp;" "&amp;K838</f>
        <v>9522 mm</v>
      </c>
      <c r="M838" s="319">
        <v>2</v>
      </c>
      <c r="N838" s="271" t="s">
        <v>81</v>
      </c>
      <c r="O838" s="297">
        <f>LEFT(L838,SEARCH(" ",L838,1)-1)*M838*0.001</f>
        <v>19.044</v>
      </c>
      <c r="P838" s="271" t="s">
        <v>249</v>
      </c>
      <c r="Q838" s="324">
        <f>VLOOKUP(H838,BM!$B$3:$Y$62,3,FALSE)</f>
        <v>0.25</v>
      </c>
      <c r="R838" s="271" t="s">
        <v>162</v>
      </c>
      <c r="S838" s="290">
        <f t="shared" si="438"/>
        <v>4.7610000000000001</v>
      </c>
      <c r="T838" s="275"/>
      <c r="U838" s="290">
        <f t="shared" si="412"/>
        <v>4.76</v>
      </c>
      <c r="V838" s="276" t="s">
        <v>48</v>
      </c>
    </row>
    <row r="839" spans="1:22" s="172" customFormat="1" ht="20.25" customHeight="1">
      <c r="A839" s="263" t="str">
        <f t="shared" si="409"/>
        <v/>
      </c>
      <c r="B839" s="263"/>
      <c r="C839" s="264">
        <f t="shared" si="437"/>
        <v>838</v>
      </c>
      <c r="D839" s="277" t="s">
        <v>1452</v>
      </c>
      <c r="E839" s="293">
        <f t="shared" si="439"/>
        <v>837</v>
      </c>
      <c r="F839" s="267" t="s">
        <v>201</v>
      </c>
      <c r="G839" s="267"/>
      <c r="H839" s="316">
        <v>25</v>
      </c>
      <c r="I839" s="316"/>
      <c r="J839" s="317">
        <f t="shared" ref="J839" si="443">J838</f>
        <v>9522</v>
      </c>
      <c r="K839" s="317" t="str">
        <f t="shared" si="441"/>
        <v>mm</v>
      </c>
      <c r="L839" s="367" t="str">
        <f t="shared" ref="L839" si="444">J839&amp;" "&amp;K839</f>
        <v>9522 mm</v>
      </c>
      <c r="M839" s="319">
        <v>2</v>
      </c>
      <c r="N839" s="271" t="s">
        <v>81</v>
      </c>
      <c r="O839" s="327">
        <f>M839</f>
        <v>2</v>
      </c>
      <c r="P839" s="271" t="s">
        <v>81</v>
      </c>
      <c r="Q839" s="273">
        <v>2</v>
      </c>
      <c r="R839" s="271" t="s">
        <v>162</v>
      </c>
      <c r="S839" s="290">
        <f t="shared" si="438"/>
        <v>4</v>
      </c>
      <c r="T839" s="275"/>
      <c r="U839" s="290">
        <f t="shared" si="412"/>
        <v>4</v>
      </c>
      <c r="V839" s="276" t="s">
        <v>48</v>
      </c>
    </row>
    <row r="840" spans="1:22" s="172" customFormat="1" ht="20.25" customHeight="1">
      <c r="A840" s="263" t="str">
        <f t="shared" si="409"/>
        <v/>
      </c>
      <c r="B840" s="263"/>
      <c r="C840" s="264">
        <f t="shared" si="437"/>
        <v>839</v>
      </c>
      <c r="D840" s="277" t="s">
        <v>1453</v>
      </c>
      <c r="E840" s="293">
        <f t="shared" si="439"/>
        <v>838</v>
      </c>
      <c r="F840" s="267" t="s">
        <v>61</v>
      </c>
      <c r="G840" s="267"/>
      <c r="H840" s="316">
        <v>25</v>
      </c>
      <c r="I840" s="316"/>
      <c r="J840" s="317">
        <f t="shared" ref="J840" si="445">J839</f>
        <v>9522</v>
      </c>
      <c r="K840" s="317" t="str">
        <f t="shared" si="441"/>
        <v>mm</v>
      </c>
      <c r="L840" s="367" t="str">
        <f t="shared" ref="L840" si="446">J840&amp;" "&amp;K840</f>
        <v>9522 mm</v>
      </c>
      <c r="M840" s="319">
        <v>2</v>
      </c>
      <c r="N840" s="271" t="s">
        <v>81</v>
      </c>
      <c r="O840" s="272">
        <v>4</v>
      </c>
      <c r="P840" s="271" t="s">
        <v>81</v>
      </c>
      <c r="Q840" s="273">
        <v>4</v>
      </c>
      <c r="R840" s="271" t="s">
        <v>162</v>
      </c>
      <c r="S840" s="290">
        <f t="shared" si="438"/>
        <v>16</v>
      </c>
      <c r="T840" s="275"/>
      <c r="U840" s="290">
        <f t="shared" si="412"/>
        <v>16</v>
      </c>
      <c r="V840" s="276" t="s">
        <v>48</v>
      </c>
    </row>
    <row r="841" spans="1:22" s="172" customFormat="1" ht="20.25" customHeight="1">
      <c r="A841" s="263" t="str">
        <f t="shared" si="409"/>
        <v/>
      </c>
      <c r="B841" s="263"/>
      <c r="C841" s="264">
        <f t="shared" si="437"/>
        <v>840</v>
      </c>
      <c r="D841" s="277" t="s">
        <v>1454</v>
      </c>
      <c r="E841" s="293">
        <f t="shared" si="439"/>
        <v>839</v>
      </c>
      <c r="F841" s="267" t="s">
        <v>240</v>
      </c>
      <c r="G841" s="267"/>
      <c r="H841" s="316">
        <v>25</v>
      </c>
      <c r="I841" s="316"/>
      <c r="J841" s="317">
        <f t="shared" ref="J841" si="447">J840</f>
        <v>9522</v>
      </c>
      <c r="K841" s="317" t="str">
        <f t="shared" si="441"/>
        <v>mm</v>
      </c>
      <c r="L841" s="367" t="str">
        <f t="shared" ref="L841" si="448">J841&amp;" "&amp;K841</f>
        <v>9522 mm</v>
      </c>
      <c r="M841" s="319">
        <v>2</v>
      </c>
      <c r="N841" s="271" t="s">
        <v>81</v>
      </c>
      <c r="O841" s="272">
        <v>4</v>
      </c>
      <c r="P841" s="271" t="s">
        <v>81</v>
      </c>
      <c r="Q841" s="273">
        <v>1</v>
      </c>
      <c r="R841" s="271" t="s">
        <v>162</v>
      </c>
      <c r="S841" s="290">
        <f t="shared" si="438"/>
        <v>4</v>
      </c>
      <c r="T841" s="275"/>
      <c r="U841" s="290">
        <f t="shared" si="412"/>
        <v>4</v>
      </c>
      <c r="V841" s="276" t="s">
        <v>48</v>
      </c>
    </row>
    <row r="842" spans="1:22" s="172" customFormat="1" ht="20.25" customHeight="1">
      <c r="A842" s="263" t="str">
        <f t="shared" si="409"/>
        <v/>
      </c>
      <c r="B842" s="263"/>
      <c r="C842" s="264">
        <f t="shared" si="437"/>
        <v>841</v>
      </c>
      <c r="D842" s="277" t="s">
        <v>1455</v>
      </c>
      <c r="E842" s="293">
        <f t="shared" si="439"/>
        <v>840</v>
      </c>
      <c r="F842" s="267" t="s">
        <v>61</v>
      </c>
      <c r="G842" s="267"/>
      <c r="H842" s="316">
        <v>25</v>
      </c>
      <c r="I842" s="316"/>
      <c r="J842" s="317">
        <f t="shared" ref="J842" si="449">J841</f>
        <v>9522</v>
      </c>
      <c r="K842" s="317" t="str">
        <f t="shared" si="441"/>
        <v>mm</v>
      </c>
      <c r="L842" s="367" t="str">
        <f t="shared" ref="L842" si="450">J842&amp;" "&amp;K842</f>
        <v>9522 mm</v>
      </c>
      <c r="M842" s="319">
        <v>2</v>
      </c>
      <c r="N842" s="271" t="s">
        <v>81</v>
      </c>
      <c r="O842" s="272">
        <v>4</v>
      </c>
      <c r="P842" s="271" t="s">
        <v>81</v>
      </c>
      <c r="Q842" s="273">
        <v>1</v>
      </c>
      <c r="R842" s="271" t="s">
        <v>162</v>
      </c>
      <c r="S842" s="290">
        <f t="shared" si="438"/>
        <v>4</v>
      </c>
      <c r="T842" s="275"/>
      <c r="U842" s="290">
        <f t="shared" si="412"/>
        <v>4</v>
      </c>
      <c r="V842" s="276" t="s">
        <v>48</v>
      </c>
    </row>
    <row r="843" spans="1:22" s="172" customFormat="1" ht="20.25" customHeight="1">
      <c r="A843" s="263">
        <f t="shared" si="409"/>
        <v>842</v>
      </c>
      <c r="B843" s="263" t="s">
        <v>1263</v>
      </c>
      <c r="C843" s="264">
        <f t="shared" si="437"/>
        <v>842</v>
      </c>
      <c r="D843" s="265" t="s">
        <v>1456</v>
      </c>
      <c r="E843" s="279">
        <f>C1282</f>
        <v>1271</v>
      </c>
      <c r="F843" s="267"/>
      <c r="G843" s="267"/>
      <c r="H843" s="268"/>
      <c r="I843" s="268"/>
      <c r="J843" s="269"/>
      <c r="K843" s="269"/>
      <c r="L843" s="269"/>
      <c r="M843" s="319"/>
      <c r="N843" s="271"/>
      <c r="O843" s="280"/>
      <c r="P843" s="271"/>
      <c r="Q843" s="281"/>
      <c r="R843" s="271"/>
      <c r="S843" s="312"/>
      <c r="T843" s="282"/>
      <c r="U843" s="312"/>
      <c r="V843" s="276"/>
    </row>
    <row r="844" spans="1:22" s="172" customFormat="1" ht="20.25" customHeight="1">
      <c r="A844" s="263" t="str">
        <f t="shared" si="409"/>
        <v/>
      </c>
      <c r="B844" s="263"/>
      <c r="C844" s="264">
        <f t="shared" si="437"/>
        <v>843</v>
      </c>
      <c r="D844" s="277" t="s">
        <v>1457</v>
      </c>
      <c r="E844" s="293"/>
      <c r="F844" s="267" t="s">
        <v>44</v>
      </c>
      <c r="G844" s="267"/>
      <c r="H844" s="316">
        <v>8</v>
      </c>
      <c r="I844" s="316"/>
      <c r="J844" s="316">
        <v>13366</v>
      </c>
      <c r="K844" s="322" t="s">
        <v>1831</v>
      </c>
      <c r="L844" s="367" t="str">
        <f>J844&amp;" "&amp;K844</f>
        <v>13366 mm</v>
      </c>
      <c r="M844" s="319">
        <v>2</v>
      </c>
      <c r="N844" s="271" t="s">
        <v>81</v>
      </c>
      <c r="O844" s="297">
        <f>LEFT(L844,SEARCH(" ",L844,1)-1)*M844*0.001</f>
        <v>26.731999999999999</v>
      </c>
      <c r="P844" s="271" t="s">
        <v>249</v>
      </c>
      <c r="Q844" s="324">
        <f>VLOOKUP(H844,BM!$B$3:$Y$62,2,FALSE)</f>
        <v>0.1</v>
      </c>
      <c r="R844" s="271" t="s">
        <v>162</v>
      </c>
      <c r="S844" s="290">
        <f t="shared" ref="S844:S849" si="451">O844*Q844</f>
        <v>2.6732</v>
      </c>
      <c r="T844" s="275"/>
      <c r="U844" s="290">
        <f t="shared" si="412"/>
        <v>2.67</v>
      </c>
      <c r="V844" s="276" t="s">
        <v>48</v>
      </c>
    </row>
    <row r="845" spans="1:22" s="172" customFormat="1" ht="20.25" customHeight="1">
      <c r="A845" s="263" t="str">
        <f t="shared" si="409"/>
        <v/>
      </c>
      <c r="B845" s="263"/>
      <c r="C845" s="264">
        <f t="shared" si="437"/>
        <v>844</v>
      </c>
      <c r="D845" s="277" t="s">
        <v>1458</v>
      </c>
      <c r="E845" s="293">
        <f t="shared" ref="E845:E849" si="452">C844</f>
        <v>843</v>
      </c>
      <c r="F845" s="267" t="s">
        <v>52</v>
      </c>
      <c r="G845" s="267"/>
      <c r="H845" s="308">
        <f t="shared" ref="H845:M849" si="453">H844</f>
        <v>8</v>
      </c>
      <c r="I845" s="308"/>
      <c r="J845" s="308">
        <f t="shared" ref="J845:K845" si="454">J844</f>
        <v>13366</v>
      </c>
      <c r="K845" s="308" t="str">
        <f t="shared" si="454"/>
        <v>mm</v>
      </c>
      <c r="L845" s="367" t="str">
        <f t="shared" ref="L845" si="455">J845&amp;" "&amp;K845</f>
        <v>13366 mm</v>
      </c>
      <c r="M845" s="326">
        <f t="shared" si="453"/>
        <v>2</v>
      </c>
      <c r="N845" s="271" t="s">
        <v>81</v>
      </c>
      <c r="O845" s="297">
        <f>LEFT(L845,SEARCH(" ",L845,1)-1)*M845*0.001</f>
        <v>26.731999999999999</v>
      </c>
      <c r="P845" s="271" t="s">
        <v>249</v>
      </c>
      <c r="Q845" s="324">
        <f>VLOOKUP(H845,BM!$B$3:$Y$62,3,FALSE)</f>
        <v>0.25</v>
      </c>
      <c r="R845" s="271" t="s">
        <v>162</v>
      </c>
      <c r="S845" s="290">
        <f t="shared" si="451"/>
        <v>6.6829999999999998</v>
      </c>
      <c r="T845" s="275"/>
      <c r="U845" s="290">
        <f t="shared" si="412"/>
        <v>6.68</v>
      </c>
      <c r="V845" s="276" t="s">
        <v>48</v>
      </c>
    </row>
    <row r="846" spans="1:22" s="172" customFormat="1" ht="20.25" customHeight="1">
      <c r="A846" s="263" t="str">
        <f t="shared" si="409"/>
        <v/>
      </c>
      <c r="B846" s="263"/>
      <c r="C846" s="264">
        <f t="shared" si="437"/>
        <v>845</v>
      </c>
      <c r="D846" s="277" t="s">
        <v>1459</v>
      </c>
      <c r="E846" s="293">
        <f t="shared" si="452"/>
        <v>844</v>
      </c>
      <c r="F846" s="267" t="s">
        <v>201</v>
      </c>
      <c r="G846" s="267"/>
      <c r="H846" s="308">
        <f t="shared" si="453"/>
        <v>8</v>
      </c>
      <c r="I846" s="308"/>
      <c r="J846" s="308">
        <f t="shared" ref="J846:K846" si="456">J845</f>
        <v>13366</v>
      </c>
      <c r="K846" s="308" t="str">
        <f t="shared" si="456"/>
        <v>mm</v>
      </c>
      <c r="L846" s="367" t="str">
        <f t="shared" ref="L846" si="457">J846&amp;" "&amp;K846</f>
        <v>13366 mm</v>
      </c>
      <c r="M846" s="326">
        <f t="shared" si="453"/>
        <v>2</v>
      </c>
      <c r="N846" s="271" t="s">
        <v>81</v>
      </c>
      <c r="O846" s="327">
        <f>M846</f>
        <v>2</v>
      </c>
      <c r="P846" s="271" t="s">
        <v>81</v>
      </c>
      <c r="Q846" s="273">
        <v>2</v>
      </c>
      <c r="R846" s="271" t="s">
        <v>162</v>
      </c>
      <c r="S846" s="290">
        <f t="shared" si="451"/>
        <v>4</v>
      </c>
      <c r="T846" s="275"/>
      <c r="U846" s="290">
        <f t="shared" si="412"/>
        <v>4</v>
      </c>
      <c r="V846" s="276" t="s">
        <v>48</v>
      </c>
    </row>
    <row r="847" spans="1:22" s="172" customFormat="1" ht="20.25" customHeight="1">
      <c r="A847" s="263" t="str">
        <f t="shared" si="409"/>
        <v/>
      </c>
      <c r="B847" s="263"/>
      <c r="C847" s="264">
        <f t="shared" si="437"/>
        <v>846</v>
      </c>
      <c r="D847" s="277" t="s">
        <v>1460</v>
      </c>
      <c r="E847" s="293">
        <f t="shared" si="452"/>
        <v>845</v>
      </c>
      <c r="F847" s="267" t="s">
        <v>61</v>
      </c>
      <c r="G847" s="267"/>
      <c r="H847" s="308">
        <f t="shared" si="453"/>
        <v>8</v>
      </c>
      <c r="I847" s="308"/>
      <c r="J847" s="308">
        <f t="shared" ref="J847:K847" si="458">J846</f>
        <v>13366</v>
      </c>
      <c r="K847" s="308" t="str">
        <f t="shared" si="458"/>
        <v>mm</v>
      </c>
      <c r="L847" s="367" t="str">
        <f t="shared" ref="L847" si="459">J847&amp;" "&amp;K847</f>
        <v>13366 mm</v>
      </c>
      <c r="M847" s="326">
        <f t="shared" si="453"/>
        <v>2</v>
      </c>
      <c r="N847" s="271" t="s">
        <v>81</v>
      </c>
      <c r="O847" s="272">
        <v>4</v>
      </c>
      <c r="P847" s="271" t="s">
        <v>81</v>
      </c>
      <c r="Q847" s="273">
        <v>4</v>
      </c>
      <c r="R847" s="271" t="s">
        <v>162</v>
      </c>
      <c r="S847" s="290">
        <f t="shared" si="451"/>
        <v>16</v>
      </c>
      <c r="T847" s="275"/>
      <c r="U847" s="290">
        <f t="shared" si="412"/>
        <v>16</v>
      </c>
      <c r="V847" s="276" t="s">
        <v>48</v>
      </c>
    </row>
    <row r="848" spans="1:22" s="172" customFormat="1" ht="20.25" customHeight="1">
      <c r="A848" s="263" t="str">
        <f t="shared" si="409"/>
        <v/>
      </c>
      <c r="B848" s="263"/>
      <c r="C848" s="264">
        <f t="shared" si="437"/>
        <v>847</v>
      </c>
      <c r="D848" s="277" t="s">
        <v>1461</v>
      </c>
      <c r="E848" s="293">
        <f t="shared" si="452"/>
        <v>846</v>
      </c>
      <c r="F848" s="267" t="s">
        <v>240</v>
      </c>
      <c r="G848" s="267"/>
      <c r="H848" s="308">
        <f t="shared" si="453"/>
        <v>8</v>
      </c>
      <c r="I848" s="308"/>
      <c r="J848" s="308">
        <f t="shared" ref="J848:K848" si="460">J847</f>
        <v>13366</v>
      </c>
      <c r="K848" s="308" t="str">
        <f t="shared" si="460"/>
        <v>mm</v>
      </c>
      <c r="L848" s="367" t="str">
        <f t="shared" ref="L848" si="461">J848&amp;" "&amp;K848</f>
        <v>13366 mm</v>
      </c>
      <c r="M848" s="326">
        <f t="shared" si="453"/>
        <v>2</v>
      </c>
      <c r="N848" s="271" t="s">
        <v>81</v>
      </c>
      <c r="O848" s="272">
        <v>4</v>
      </c>
      <c r="P848" s="271" t="s">
        <v>81</v>
      </c>
      <c r="Q848" s="273">
        <v>1</v>
      </c>
      <c r="R848" s="271" t="s">
        <v>162</v>
      </c>
      <c r="S848" s="290">
        <f t="shared" si="451"/>
        <v>4</v>
      </c>
      <c r="T848" s="275"/>
      <c r="U848" s="290">
        <f t="shared" si="412"/>
        <v>4</v>
      </c>
      <c r="V848" s="276" t="s">
        <v>48</v>
      </c>
    </row>
    <row r="849" spans="1:22" s="172" customFormat="1" ht="20.25" customHeight="1">
      <c r="A849" s="263" t="str">
        <f t="shared" si="409"/>
        <v/>
      </c>
      <c r="B849" s="263"/>
      <c r="C849" s="264">
        <f t="shared" si="437"/>
        <v>848</v>
      </c>
      <c r="D849" s="277" t="s">
        <v>1462</v>
      </c>
      <c r="E849" s="293">
        <f t="shared" si="452"/>
        <v>847</v>
      </c>
      <c r="F849" s="267" t="s">
        <v>61</v>
      </c>
      <c r="G849" s="267"/>
      <c r="H849" s="308">
        <f t="shared" si="453"/>
        <v>8</v>
      </c>
      <c r="I849" s="308"/>
      <c r="J849" s="308">
        <f t="shared" ref="J849:K849" si="462">J848</f>
        <v>13366</v>
      </c>
      <c r="K849" s="308" t="str">
        <f t="shared" si="462"/>
        <v>mm</v>
      </c>
      <c r="L849" s="367" t="str">
        <f t="shared" ref="L849" si="463">J849&amp;" "&amp;K849</f>
        <v>13366 mm</v>
      </c>
      <c r="M849" s="326">
        <f t="shared" si="453"/>
        <v>2</v>
      </c>
      <c r="N849" s="271" t="s">
        <v>81</v>
      </c>
      <c r="O849" s="272">
        <v>4</v>
      </c>
      <c r="P849" s="271" t="s">
        <v>81</v>
      </c>
      <c r="Q849" s="273">
        <v>1</v>
      </c>
      <c r="R849" s="271" t="s">
        <v>162</v>
      </c>
      <c r="S849" s="290">
        <f t="shared" si="451"/>
        <v>4</v>
      </c>
      <c r="T849" s="275"/>
      <c r="U849" s="290">
        <f t="shared" si="412"/>
        <v>4</v>
      </c>
      <c r="V849" s="276" t="s">
        <v>48</v>
      </c>
    </row>
    <row r="850" spans="1:22" s="172" customFormat="1" ht="20.25" customHeight="1">
      <c r="A850" s="263">
        <f t="shared" si="409"/>
        <v>849</v>
      </c>
      <c r="B850" s="263" t="s">
        <v>1263</v>
      </c>
      <c r="C850" s="264">
        <f t="shared" si="437"/>
        <v>849</v>
      </c>
      <c r="D850" s="265" t="s">
        <v>1463</v>
      </c>
      <c r="E850" s="279">
        <f>C1283</f>
        <v>1272</v>
      </c>
      <c r="F850" s="267"/>
      <c r="G850" s="267"/>
      <c r="H850" s="268"/>
      <c r="I850" s="268"/>
      <c r="J850" s="269"/>
      <c r="K850" s="269"/>
      <c r="L850" s="269"/>
      <c r="M850" s="319"/>
      <c r="N850" s="271"/>
      <c r="O850" s="280"/>
      <c r="P850" s="271"/>
      <c r="Q850" s="281"/>
      <c r="R850" s="271"/>
      <c r="S850" s="312"/>
      <c r="T850" s="282"/>
      <c r="U850" s="312"/>
      <c r="V850" s="276"/>
    </row>
    <row r="851" spans="1:22" s="172" customFormat="1" ht="20.25" customHeight="1">
      <c r="A851" s="263" t="str">
        <f t="shared" si="409"/>
        <v/>
      </c>
      <c r="B851" s="263"/>
      <c r="C851" s="264">
        <f t="shared" si="437"/>
        <v>850</v>
      </c>
      <c r="D851" s="277" t="s">
        <v>1464</v>
      </c>
      <c r="E851" s="293"/>
      <c r="F851" s="267" t="s">
        <v>37</v>
      </c>
      <c r="G851" s="267"/>
      <c r="H851" s="268"/>
      <c r="I851" s="268"/>
      <c r="J851" s="269"/>
      <c r="K851" s="269"/>
      <c r="L851" s="269"/>
      <c r="M851" s="319">
        <v>1</v>
      </c>
      <c r="N851" s="271" t="s">
        <v>84</v>
      </c>
      <c r="O851" s="272">
        <v>1</v>
      </c>
      <c r="P851" s="271"/>
      <c r="Q851" s="273">
        <v>4</v>
      </c>
      <c r="R851" s="271" t="s">
        <v>41</v>
      </c>
      <c r="S851" s="290">
        <f t="shared" ref="S851:S854" si="464">O851*Q851</f>
        <v>4</v>
      </c>
      <c r="T851" s="275"/>
      <c r="U851" s="290">
        <f t="shared" si="412"/>
        <v>4</v>
      </c>
      <c r="V851" s="276" t="s">
        <v>42</v>
      </c>
    </row>
    <row r="852" spans="1:22" s="172" customFormat="1" ht="20.25" customHeight="1">
      <c r="A852" s="263" t="str">
        <f t="shared" si="409"/>
        <v/>
      </c>
      <c r="B852" s="263"/>
      <c r="C852" s="264">
        <f t="shared" si="437"/>
        <v>851</v>
      </c>
      <c r="D852" s="277" t="s">
        <v>1465</v>
      </c>
      <c r="E852" s="293">
        <f t="shared" ref="E852:E854" si="465">C851</f>
        <v>850</v>
      </c>
      <c r="F852" s="267" t="s">
        <v>44</v>
      </c>
      <c r="G852" s="267"/>
      <c r="H852" s="316">
        <v>25.4</v>
      </c>
      <c r="I852" s="322" t="s">
        <v>1847</v>
      </c>
      <c r="J852" s="315">
        <v>14</v>
      </c>
      <c r="K852" s="315"/>
      <c r="L852" s="367" t="str">
        <f>J852&amp;" "&amp;K852</f>
        <v xml:space="preserve">14 </v>
      </c>
      <c r="M852" s="319">
        <v>14</v>
      </c>
      <c r="N852" s="271" t="s">
        <v>81</v>
      </c>
      <c r="O852" s="327">
        <f>M852</f>
        <v>14</v>
      </c>
      <c r="P852" s="271" t="s">
        <v>81</v>
      </c>
      <c r="Q852" s="273">
        <v>0.25</v>
      </c>
      <c r="R852" s="271" t="s">
        <v>162</v>
      </c>
      <c r="S852" s="290">
        <f t="shared" si="464"/>
        <v>3.5</v>
      </c>
      <c r="T852" s="275"/>
      <c r="U852" s="290">
        <f t="shared" si="412"/>
        <v>3.5</v>
      </c>
      <c r="V852" s="276" t="s">
        <v>48</v>
      </c>
    </row>
    <row r="853" spans="1:22" s="172" customFormat="1" ht="20.25" customHeight="1">
      <c r="A853" s="263" t="str">
        <f t="shared" si="409"/>
        <v/>
      </c>
      <c r="B853" s="263"/>
      <c r="C853" s="264">
        <f t="shared" si="437"/>
        <v>852</v>
      </c>
      <c r="D853" s="277" t="s">
        <v>1466</v>
      </c>
      <c r="E853" s="293">
        <f t="shared" si="465"/>
        <v>851</v>
      </c>
      <c r="F853" s="267" t="s">
        <v>44</v>
      </c>
      <c r="G853" s="267"/>
      <c r="H853" s="308">
        <f t="shared" ref="H853:M854" si="466">H852</f>
        <v>25.4</v>
      </c>
      <c r="I853" s="308" t="str">
        <f t="shared" si="466"/>
        <v>dia</v>
      </c>
      <c r="J853" s="308">
        <f t="shared" ref="J853" si="467">J852</f>
        <v>14</v>
      </c>
      <c r="K853" s="308"/>
      <c r="L853" s="367" t="str">
        <f t="shared" ref="L853" si="468">J853&amp;" "&amp;K853</f>
        <v xml:space="preserve">14 </v>
      </c>
      <c r="M853" s="326">
        <f t="shared" si="466"/>
        <v>14</v>
      </c>
      <c r="N853" s="271" t="s">
        <v>81</v>
      </c>
      <c r="O853" s="327">
        <f>M853</f>
        <v>14</v>
      </c>
      <c r="P853" s="271" t="s">
        <v>81</v>
      </c>
      <c r="Q853" s="273">
        <v>0.5</v>
      </c>
      <c r="R853" s="271" t="s">
        <v>162</v>
      </c>
      <c r="S853" s="290">
        <f t="shared" si="464"/>
        <v>7</v>
      </c>
      <c r="T853" s="275"/>
      <c r="U853" s="290">
        <f t="shared" si="412"/>
        <v>7</v>
      </c>
      <c r="V853" s="276" t="s">
        <v>48</v>
      </c>
    </row>
    <row r="854" spans="1:22" s="172" customFormat="1" ht="20.25" customHeight="1">
      <c r="A854" s="263" t="str">
        <f t="shared" si="409"/>
        <v/>
      </c>
      <c r="B854" s="263"/>
      <c r="C854" s="264">
        <f t="shared" si="437"/>
        <v>853</v>
      </c>
      <c r="D854" s="277" t="s">
        <v>1467</v>
      </c>
      <c r="E854" s="293">
        <f t="shared" si="465"/>
        <v>852</v>
      </c>
      <c r="F854" s="267" t="s">
        <v>201</v>
      </c>
      <c r="G854" s="267"/>
      <c r="H854" s="308">
        <f t="shared" si="466"/>
        <v>25.4</v>
      </c>
      <c r="I854" s="308" t="str">
        <f t="shared" si="466"/>
        <v>dia</v>
      </c>
      <c r="J854" s="308">
        <f t="shared" ref="J854" si="469">J853</f>
        <v>14</v>
      </c>
      <c r="K854" s="308"/>
      <c r="L854" s="367" t="str">
        <f t="shared" ref="L854" si="470">J854&amp;" "&amp;K854</f>
        <v xml:space="preserve">14 </v>
      </c>
      <c r="M854" s="326">
        <f t="shared" si="466"/>
        <v>14</v>
      </c>
      <c r="N854" s="271" t="s">
        <v>81</v>
      </c>
      <c r="O854" s="327">
        <f>M854</f>
        <v>14</v>
      </c>
      <c r="P854" s="271" t="s">
        <v>81</v>
      </c>
      <c r="Q854" s="273">
        <v>1</v>
      </c>
      <c r="R854" s="271" t="s">
        <v>162</v>
      </c>
      <c r="S854" s="290">
        <f t="shared" si="464"/>
        <v>14</v>
      </c>
      <c r="T854" s="275"/>
      <c r="U854" s="290">
        <f t="shared" si="412"/>
        <v>14</v>
      </c>
      <c r="V854" s="276" t="s">
        <v>48</v>
      </c>
    </row>
    <row r="855" spans="1:22" s="172" customFormat="1" ht="20.25" customHeight="1">
      <c r="A855" s="263">
        <f t="shared" si="409"/>
        <v>854</v>
      </c>
      <c r="B855" s="263" t="s">
        <v>1263</v>
      </c>
      <c r="C855" s="264">
        <f t="shared" si="437"/>
        <v>854</v>
      </c>
      <c r="D855" s="332" t="s">
        <v>1468</v>
      </c>
      <c r="E855" s="293"/>
      <c r="F855" s="267"/>
      <c r="G855" s="267"/>
      <c r="H855" s="268"/>
      <c r="I855" s="268"/>
      <c r="J855" s="269"/>
      <c r="K855" s="269"/>
      <c r="L855" s="269"/>
      <c r="M855" s="319"/>
      <c r="N855" s="271"/>
      <c r="O855" s="280"/>
      <c r="P855" s="271"/>
      <c r="Q855" s="281"/>
      <c r="R855" s="271"/>
      <c r="S855" s="312"/>
      <c r="T855" s="282"/>
      <c r="U855" s="312"/>
      <c r="V855" s="276"/>
    </row>
    <row r="856" spans="1:22" s="172" customFormat="1" ht="20.25" customHeight="1">
      <c r="A856" s="263">
        <f t="shared" si="409"/>
        <v>855</v>
      </c>
      <c r="B856" s="263" t="s">
        <v>1263</v>
      </c>
      <c r="C856" s="264">
        <f t="shared" si="437"/>
        <v>855</v>
      </c>
      <c r="D856" s="265" t="s">
        <v>1469</v>
      </c>
      <c r="E856" s="279">
        <f>C1100</f>
        <v>1099</v>
      </c>
      <c r="F856" s="267"/>
      <c r="G856" s="267"/>
      <c r="H856" s="268"/>
      <c r="I856" s="268"/>
      <c r="J856" s="269"/>
      <c r="K856" s="269"/>
      <c r="L856" s="269"/>
      <c r="M856" s="319"/>
      <c r="N856" s="271"/>
      <c r="O856" s="280"/>
      <c r="P856" s="271"/>
      <c r="Q856" s="281"/>
      <c r="R856" s="271"/>
      <c r="S856" s="312"/>
      <c r="T856" s="282"/>
      <c r="U856" s="312"/>
      <c r="V856" s="276"/>
    </row>
    <row r="857" spans="1:22" s="172" customFormat="1" ht="20.25" customHeight="1">
      <c r="A857" s="263" t="str">
        <f t="shared" si="409"/>
        <v/>
      </c>
      <c r="B857" s="263"/>
      <c r="C857" s="264">
        <f t="shared" si="437"/>
        <v>856</v>
      </c>
      <c r="D857" s="277" t="s">
        <v>1470</v>
      </c>
      <c r="E857" s="293"/>
      <c r="F857" s="267" t="s">
        <v>37</v>
      </c>
      <c r="G857" s="267"/>
      <c r="H857" s="268"/>
      <c r="I857" s="268"/>
      <c r="J857" s="269"/>
      <c r="K857" s="269"/>
      <c r="L857" s="269"/>
      <c r="M857" s="319">
        <v>1</v>
      </c>
      <c r="N857" s="271" t="s">
        <v>84</v>
      </c>
      <c r="O857" s="272">
        <v>1</v>
      </c>
      <c r="P857" s="271"/>
      <c r="Q857" s="273">
        <v>4</v>
      </c>
      <c r="R857" s="271" t="s">
        <v>41</v>
      </c>
      <c r="S857" s="290">
        <f t="shared" ref="S857:S858" si="471">O857*Q857</f>
        <v>4</v>
      </c>
      <c r="T857" s="275"/>
      <c r="U857" s="290">
        <f t="shared" si="412"/>
        <v>4</v>
      </c>
      <c r="V857" s="276" t="s">
        <v>42</v>
      </c>
    </row>
    <row r="858" spans="1:22" s="172" customFormat="1" ht="20.25" customHeight="1">
      <c r="A858" s="263" t="str">
        <f t="shared" si="409"/>
        <v/>
      </c>
      <c r="B858" s="263"/>
      <c r="C858" s="264">
        <f t="shared" si="437"/>
        <v>857</v>
      </c>
      <c r="D858" s="277" t="s">
        <v>1471</v>
      </c>
      <c r="E858" s="293">
        <f t="shared" ref="E858" si="472">C857</f>
        <v>856</v>
      </c>
      <c r="F858" s="267" t="s">
        <v>201</v>
      </c>
      <c r="G858" s="267"/>
      <c r="H858" s="316">
        <v>18</v>
      </c>
      <c r="I858" s="316"/>
      <c r="J858" s="315">
        <v>43000</v>
      </c>
      <c r="K858" s="294" t="s">
        <v>1831</v>
      </c>
      <c r="L858" s="367" t="str">
        <f>J858&amp;" "&amp;K858</f>
        <v>43000 mm</v>
      </c>
      <c r="M858" s="319">
        <v>1</v>
      </c>
      <c r="N858" s="271" t="s">
        <v>81</v>
      </c>
      <c r="O858" s="297">
        <f>LEFT(L858,SEARCH(" ",L858,1)-1)*M858*0.001</f>
        <v>43</v>
      </c>
      <c r="P858" s="271" t="s">
        <v>139</v>
      </c>
      <c r="Q858" s="324">
        <f>VLOOKUP(H858,BM!$B$3:$Y$62,2,FALSE)</f>
        <v>0.1</v>
      </c>
      <c r="R858" s="271" t="s">
        <v>112</v>
      </c>
      <c r="S858" s="290">
        <f t="shared" si="471"/>
        <v>4.3</v>
      </c>
      <c r="T858" s="275">
        <v>1</v>
      </c>
      <c r="U858" s="290">
        <f t="shared" si="412"/>
        <v>5.3</v>
      </c>
      <c r="V858" s="276" t="s">
        <v>48</v>
      </c>
    </row>
    <row r="859" spans="1:22" s="172" customFormat="1" ht="20.25" customHeight="1">
      <c r="A859" s="263">
        <f t="shared" si="409"/>
        <v>858</v>
      </c>
      <c r="B859" s="263" t="s">
        <v>1263</v>
      </c>
      <c r="C859" s="264">
        <f t="shared" si="437"/>
        <v>858</v>
      </c>
      <c r="D859" s="265" t="s">
        <v>1472</v>
      </c>
      <c r="E859" s="279">
        <f>C856</f>
        <v>855</v>
      </c>
      <c r="F859" s="267"/>
      <c r="G859" s="267"/>
      <c r="H859" s="268"/>
      <c r="I859" s="268"/>
      <c r="J859" s="269"/>
      <c r="K859" s="269"/>
      <c r="L859" s="269"/>
      <c r="M859" s="319"/>
      <c r="N859" s="271"/>
      <c r="O859" s="280"/>
      <c r="P859" s="271"/>
      <c r="Q859" s="281"/>
      <c r="R859" s="271"/>
      <c r="S859" s="312"/>
      <c r="T859" s="282"/>
      <c r="U859" s="312"/>
      <c r="V859" s="276"/>
    </row>
    <row r="860" spans="1:22" s="172" customFormat="1" ht="20.25" customHeight="1">
      <c r="A860" s="263" t="str">
        <f t="shared" ref="A860:A923" si="473">IF(B860="Yes",C860,"")</f>
        <v/>
      </c>
      <c r="B860" s="263"/>
      <c r="C860" s="264">
        <f t="shared" si="437"/>
        <v>859</v>
      </c>
      <c r="D860" s="277" t="s">
        <v>1473</v>
      </c>
      <c r="E860" s="293">
        <f t="shared" ref="E860" si="474">C859</f>
        <v>858</v>
      </c>
      <c r="F860" s="267" t="s">
        <v>276</v>
      </c>
      <c r="G860" s="267"/>
      <c r="H860" s="316">
        <v>18</v>
      </c>
      <c r="I860" s="316"/>
      <c r="J860" s="315" t="s">
        <v>273</v>
      </c>
      <c r="K860" s="294" t="s">
        <v>1831</v>
      </c>
      <c r="L860" s="367" t="str">
        <f>J860&amp;" "&amp;K860</f>
        <v>43000 mm mm</v>
      </c>
      <c r="M860" s="319">
        <v>3</v>
      </c>
      <c r="N860" s="271" t="s">
        <v>81</v>
      </c>
      <c r="O860" s="297">
        <f>LEFT(L860,SEARCH(" ",L860,1)-1)*M860*0.001</f>
        <v>129</v>
      </c>
      <c r="P860" s="271" t="s">
        <v>139</v>
      </c>
      <c r="Q860" s="324">
        <f>VLOOKUP(H860,BM!$B$3:$Y$62,3,FALSE)</f>
        <v>0.25</v>
      </c>
      <c r="R860" s="271" t="s">
        <v>112</v>
      </c>
      <c r="S860" s="290">
        <f t="shared" ref="S860" si="475">O860*Q860</f>
        <v>32.25</v>
      </c>
      <c r="T860" s="275">
        <v>1</v>
      </c>
      <c r="U860" s="290">
        <f t="shared" si="412"/>
        <v>33.25</v>
      </c>
      <c r="V860" s="276" t="s">
        <v>48</v>
      </c>
    </row>
    <row r="861" spans="1:22" s="172" customFormat="1" ht="20.25" customHeight="1">
      <c r="A861" s="263">
        <f t="shared" si="473"/>
        <v>860</v>
      </c>
      <c r="B861" s="263" t="s">
        <v>1263</v>
      </c>
      <c r="C861" s="264">
        <f t="shared" si="437"/>
        <v>860</v>
      </c>
      <c r="D861" s="265" t="s">
        <v>1474</v>
      </c>
      <c r="E861" s="279">
        <f>C859</f>
        <v>858</v>
      </c>
      <c r="F861" s="267"/>
      <c r="G861" s="267"/>
      <c r="H861" s="268"/>
      <c r="I861" s="268"/>
      <c r="J861" s="269"/>
      <c r="K861" s="269"/>
      <c r="L861" s="269"/>
      <c r="M861" s="319"/>
      <c r="N861" s="271"/>
      <c r="O861" s="280"/>
      <c r="P861" s="271"/>
      <c r="Q861" s="281"/>
      <c r="R861" s="271"/>
      <c r="S861" s="312"/>
      <c r="T861" s="282"/>
      <c r="U861" s="312"/>
      <c r="V861" s="276"/>
    </row>
    <row r="862" spans="1:22" s="172" customFormat="1" ht="20.25" customHeight="1">
      <c r="A862" s="263" t="str">
        <f t="shared" si="473"/>
        <v/>
      </c>
      <c r="B862" s="263"/>
      <c r="C862" s="264">
        <f t="shared" si="437"/>
        <v>861</v>
      </c>
      <c r="D862" s="277" t="s">
        <v>1475</v>
      </c>
      <c r="E862" s="293">
        <f t="shared" ref="E862:E865" si="476">C861</f>
        <v>860</v>
      </c>
      <c r="F862" s="267" t="s">
        <v>52</v>
      </c>
      <c r="G862" s="267"/>
      <c r="H862" s="316">
        <v>18</v>
      </c>
      <c r="I862" s="316"/>
      <c r="J862" s="316">
        <v>2500</v>
      </c>
      <c r="K862" s="322" t="s">
        <v>1831</v>
      </c>
      <c r="L862" s="367" t="str">
        <f t="shared" ref="L862:L865" si="477">J862&amp;" "&amp;K862</f>
        <v>2500 mm</v>
      </c>
      <c r="M862" s="319">
        <v>1</v>
      </c>
      <c r="N862" s="271" t="s">
        <v>81</v>
      </c>
      <c r="O862" s="297">
        <f>LEFT(L862,SEARCH(" ",L862,1)-1)*M862*0.001</f>
        <v>2.5</v>
      </c>
      <c r="P862" s="271" t="s">
        <v>139</v>
      </c>
      <c r="Q862" s="324">
        <f>VLOOKUP(H862,BM!$B$3:$Y$62,5,FALSE)</f>
        <v>0.5</v>
      </c>
      <c r="R862" s="271" t="s">
        <v>112</v>
      </c>
      <c r="S862" s="290">
        <f t="shared" ref="S862:S865" si="478">O862*Q862</f>
        <v>1.25</v>
      </c>
      <c r="T862" s="275">
        <v>1</v>
      </c>
      <c r="U862" s="290">
        <f t="shared" ref="U862:U925" si="479">ROUND(S862+T862,2)</f>
        <v>2.25</v>
      </c>
      <c r="V862" s="276" t="s">
        <v>48</v>
      </c>
    </row>
    <row r="863" spans="1:22" s="172" customFormat="1" ht="20.25" customHeight="1">
      <c r="A863" s="263" t="str">
        <f t="shared" si="473"/>
        <v/>
      </c>
      <c r="B863" s="263"/>
      <c r="C863" s="264">
        <f t="shared" si="437"/>
        <v>862</v>
      </c>
      <c r="D863" s="277" t="s">
        <v>1475</v>
      </c>
      <c r="E863" s="293">
        <f t="shared" si="476"/>
        <v>861</v>
      </c>
      <c r="F863" s="267" t="s">
        <v>52</v>
      </c>
      <c r="G863" s="267"/>
      <c r="H863" s="308">
        <f>H862</f>
        <v>18</v>
      </c>
      <c r="I863" s="308"/>
      <c r="J863" s="315">
        <v>2500</v>
      </c>
      <c r="K863" s="294" t="s">
        <v>1831</v>
      </c>
      <c r="L863" s="367" t="str">
        <f t="shared" si="477"/>
        <v>2500 mm</v>
      </c>
      <c r="M863" s="319">
        <v>1</v>
      </c>
      <c r="N863" s="271" t="s">
        <v>81</v>
      </c>
      <c r="O863" s="297">
        <f>LEFT(L863,SEARCH(" ",L863,1)-1)*M863*0.001</f>
        <v>2.5</v>
      </c>
      <c r="P863" s="271" t="s">
        <v>139</v>
      </c>
      <c r="Q863" s="324">
        <f>VLOOKUP(H863,BM!$B$3:$Y$62,5,FALSE)</f>
        <v>0.5</v>
      </c>
      <c r="R863" s="271" t="s">
        <v>112</v>
      </c>
      <c r="S863" s="290">
        <f t="shared" si="478"/>
        <v>1.25</v>
      </c>
      <c r="T863" s="275">
        <v>1</v>
      </c>
      <c r="U863" s="290">
        <f t="shared" si="479"/>
        <v>2.25</v>
      </c>
      <c r="V863" s="276" t="s">
        <v>48</v>
      </c>
    </row>
    <row r="864" spans="1:22" s="172" customFormat="1" ht="20.25" customHeight="1">
      <c r="A864" s="263" t="str">
        <f t="shared" si="473"/>
        <v/>
      </c>
      <c r="B864" s="263"/>
      <c r="C864" s="264">
        <f t="shared" si="437"/>
        <v>863</v>
      </c>
      <c r="D864" s="277" t="s">
        <v>1475</v>
      </c>
      <c r="E864" s="293">
        <f t="shared" si="476"/>
        <v>862</v>
      </c>
      <c r="F864" s="267" t="s">
        <v>52</v>
      </c>
      <c r="G864" s="267"/>
      <c r="H864" s="308">
        <f>H863</f>
        <v>18</v>
      </c>
      <c r="I864" s="308"/>
      <c r="J864" s="316">
        <v>1250</v>
      </c>
      <c r="K864" s="322" t="s">
        <v>1831</v>
      </c>
      <c r="L864" s="367" t="str">
        <f t="shared" si="477"/>
        <v>1250 mm</v>
      </c>
      <c r="M864" s="319">
        <v>1</v>
      </c>
      <c r="N864" s="271" t="s">
        <v>81</v>
      </c>
      <c r="O864" s="297">
        <f t="shared" ref="O864:O865" si="480">LEFT(L864,SEARCH(" ",L864,1)-1)*M864*0.001</f>
        <v>1.25</v>
      </c>
      <c r="P864" s="271" t="s">
        <v>139</v>
      </c>
      <c r="Q864" s="324">
        <f>VLOOKUP(H864,BM!$B$3:$Y$62,5,FALSE)</f>
        <v>0.5</v>
      </c>
      <c r="R864" s="271" t="s">
        <v>112</v>
      </c>
      <c r="S864" s="290">
        <f t="shared" si="478"/>
        <v>0.625</v>
      </c>
      <c r="T864" s="275">
        <v>1</v>
      </c>
      <c r="U864" s="290">
        <f t="shared" si="479"/>
        <v>1.63</v>
      </c>
      <c r="V864" s="276" t="s">
        <v>48</v>
      </c>
    </row>
    <row r="865" spans="1:22" s="172" customFormat="1" ht="20.25" customHeight="1">
      <c r="A865" s="263" t="str">
        <f t="shared" si="473"/>
        <v/>
      </c>
      <c r="B865" s="263"/>
      <c r="C865" s="264">
        <f t="shared" si="437"/>
        <v>864</v>
      </c>
      <c r="D865" s="277" t="s">
        <v>1475</v>
      </c>
      <c r="E865" s="293">
        <f t="shared" si="476"/>
        <v>863</v>
      </c>
      <c r="F865" s="267" t="s">
        <v>52</v>
      </c>
      <c r="G865" s="267"/>
      <c r="H865" s="308">
        <f>H864</f>
        <v>18</v>
      </c>
      <c r="I865" s="308"/>
      <c r="J865" s="316">
        <v>0</v>
      </c>
      <c r="K865" s="322" t="s">
        <v>1831</v>
      </c>
      <c r="L865" s="367" t="str">
        <f t="shared" si="477"/>
        <v>0 mm</v>
      </c>
      <c r="M865" s="319">
        <v>1</v>
      </c>
      <c r="N865" s="271" t="s">
        <v>81</v>
      </c>
      <c r="O865" s="297">
        <f t="shared" si="480"/>
        <v>0</v>
      </c>
      <c r="P865" s="271" t="s">
        <v>139</v>
      </c>
      <c r="Q865" s="324">
        <f>VLOOKUP(H865,BM!$B$3:$Y$62,5,FALSE)</f>
        <v>0.5</v>
      </c>
      <c r="R865" s="271" t="s">
        <v>112</v>
      </c>
      <c r="S865" s="290">
        <f t="shared" si="478"/>
        <v>0</v>
      </c>
      <c r="T865" s="275"/>
      <c r="U865" s="307"/>
      <c r="V865" s="276" t="s">
        <v>48</v>
      </c>
    </row>
    <row r="866" spans="1:22" s="172" customFormat="1" ht="20.25" customHeight="1">
      <c r="A866" s="263">
        <f t="shared" si="473"/>
        <v>865</v>
      </c>
      <c r="B866" s="263" t="s">
        <v>1263</v>
      </c>
      <c r="C866" s="264">
        <f t="shared" si="437"/>
        <v>865</v>
      </c>
      <c r="D866" s="265" t="s">
        <v>1476</v>
      </c>
      <c r="E866" s="279">
        <f>C861</f>
        <v>860</v>
      </c>
      <c r="F866" s="267"/>
      <c r="G866" s="267"/>
      <c r="H866" s="268"/>
      <c r="I866" s="268"/>
      <c r="J866" s="269"/>
      <c r="K866" s="269"/>
      <c r="L866" s="269"/>
      <c r="M866" s="319"/>
      <c r="N866" s="271"/>
      <c r="O866" s="280"/>
      <c r="P866" s="271"/>
      <c r="Q866" s="281"/>
      <c r="R866" s="271"/>
      <c r="S866" s="312"/>
      <c r="T866" s="282"/>
      <c r="U866" s="312"/>
      <c r="V866" s="276"/>
    </row>
    <row r="867" spans="1:22" s="172" customFormat="1" ht="20.25" customHeight="1">
      <c r="A867" s="263" t="str">
        <f t="shared" si="473"/>
        <v/>
      </c>
      <c r="B867" s="263"/>
      <c r="C867" s="264">
        <f t="shared" si="437"/>
        <v>866</v>
      </c>
      <c r="D867" s="277" t="s">
        <v>1477</v>
      </c>
      <c r="E867" s="293"/>
      <c r="F867" s="267" t="s">
        <v>121</v>
      </c>
      <c r="G867" s="267"/>
      <c r="H867" s="308">
        <f>H865</f>
        <v>18</v>
      </c>
      <c r="I867" s="308"/>
      <c r="J867" s="308">
        <f t="shared" ref="J867:K867" si="481">J862</f>
        <v>2500</v>
      </c>
      <c r="K867" s="308" t="str">
        <f t="shared" si="481"/>
        <v>mm</v>
      </c>
      <c r="L867" s="367" t="str">
        <f t="shared" ref="L867" si="482">J867&amp;" "&amp;K867</f>
        <v>2500 mm</v>
      </c>
      <c r="M867" s="326">
        <f t="shared" ref="L867:M870" si="483">M862</f>
        <v>1</v>
      </c>
      <c r="N867" s="271" t="s">
        <v>81</v>
      </c>
      <c r="O867" s="297">
        <f t="shared" ref="O867:O870" si="484">LEFT(L867,SEARCH(" ",L867,1)-1)*M867*0.001</f>
        <v>2.5</v>
      </c>
      <c r="P867" s="271" t="s">
        <v>139</v>
      </c>
      <c r="Q867" s="324">
        <f>VLOOKUP(H867,BM!$B$3:$Y$62,6,FALSE)</f>
        <v>1</v>
      </c>
      <c r="R867" s="271" t="s">
        <v>112</v>
      </c>
      <c r="S867" s="290">
        <f t="shared" ref="S867:S870" si="485">O867*Q867</f>
        <v>2.5</v>
      </c>
      <c r="T867" s="275">
        <v>1</v>
      </c>
      <c r="U867" s="290">
        <f t="shared" si="479"/>
        <v>3.5</v>
      </c>
      <c r="V867" s="276" t="s">
        <v>48</v>
      </c>
    </row>
    <row r="868" spans="1:22" s="172" customFormat="1" ht="20.25" customHeight="1">
      <c r="A868" s="263" t="str">
        <f t="shared" si="473"/>
        <v/>
      </c>
      <c r="B868" s="263"/>
      <c r="C868" s="264">
        <f t="shared" si="437"/>
        <v>867</v>
      </c>
      <c r="D868" s="277" t="s">
        <v>1477</v>
      </c>
      <c r="E868" s="293">
        <f t="shared" ref="E868:E870" si="486">C867</f>
        <v>866</v>
      </c>
      <c r="F868" s="267" t="s">
        <v>121</v>
      </c>
      <c r="G868" s="267"/>
      <c r="H868" s="308">
        <f>H865</f>
        <v>18</v>
      </c>
      <c r="I868" s="308"/>
      <c r="J868" s="308">
        <f t="shared" ref="J868:K868" si="487">J863</f>
        <v>2500</v>
      </c>
      <c r="K868" s="308" t="str">
        <f t="shared" si="487"/>
        <v>mm</v>
      </c>
      <c r="L868" s="367" t="str">
        <f t="shared" ref="L868" si="488">J868&amp;" "&amp;K868</f>
        <v>2500 mm</v>
      </c>
      <c r="M868" s="326">
        <f t="shared" si="483"/>
        <v>1</v>
      </c>
      <c r="N868" s="271" t="s">
        <v>81</v>
      </c>
      <c r="O868" s="297">
        <f t="shared" si="484"/>
        <v>2.5</v>
      </c>
      <c r="P868" s="271" t="s">
        <v>139</v>
      </c>
      <c r="Q868" s="324">
        <f>VLOOKUP(H868,BM!$B$3:$Y$62,6,FALSE)</f>
        <v>1</v>
      </c>
      <c r="R868" s="271" t="s">
        <v>112</v>
      </c>
      <c r="S868" s="290">
        <f t="shared" si="485"/>
        <v>2.5</v>
      </c>
      <c r="T868" s="275">
        <v>1</v>
      </c>
      <c r="U868" s="290">
        <f t="shared" si="479"/>
        <v>3.5</v>
      </c>
      <c r="V868" s="276" t="s">
        <v>48</v>
      </c>
    </row>
    <row r="869" spans="1:22" s="172" customFormat="1" ht="20.25" customHeight="1">
      <c r="A869" s="263" t="str">
        <f t="shared" si="473"/>
        <v/>
      </c>
      <c r="B869" s="263"/>
      <c r="C869" s="264">
        <f t="shared" si="437"/>
        <v>868</v>
      </c>
      <c r="D869" s="277" t="s">
        <v>1477</v>
      </c>
      <c r="E869" s="293">
        <f t="shared" si="486"/>
        <v>867</v>
      </c>
      <c r="F869" s="267" t="s">
        <v>121</v>
      </c>
      <c r="G869" s="267"/>
      <c r="H869" s="308">
        <f>H865</f>
        <v>18</v>
      </c>
      <c r="I869" s="308"/>
      <c r="J869" s="308">
        <f t="shared" ref="J869:K869" si="489">J864</f>
        <v>1250</v>
      </c>
      <c r="K869" s="308" t="str">
        <f t="shared" si="489"/>
        <v>mm</v>
      </c>
      <c r="L869" s="367" t="str">
        <f t="shared" ref="L869" si="490">J869&amp;" "&amp;K869</f>
        <v>1250 mm</v>
      </c>
      <c r="M869" s="326">
        <f t="shared" si="483"/>
        <v>1</v>
      </c>
      <c r="N869" s="271" t="s">
        <v>81</v>
      </c>
      <c r="O869" s="297">
        <f t="shared" si="484"/>
        <v>1.25</v>
      </c>
      <c r="P869" s="271" t="s">
        <v>139</v>
      </c>
      <c r="Q869" s="324">
        <f>VLOOKUP(H869,BM!$B$3:$Y$62,6,FALSE)</f>
        <v>1</v>
      </c>
      <c r="R869" s="271" t="s">
        <v>112</v>
      </c>
      <c r="S869" s="290">
        <f t="shared" si="485"/>
        <v>1.25</v>
      </c>
      <c r="T869" s="275">
        <v>1</v>
      </c>
      <c r="U869" s="290">
        <f t="shared" si="479"/>
        <v>2.25</v>
      </c>
      <c r="V869" s="276" t="s">
        <v>48</v>
      </c>
    </row>
    <row r="870" spans="1:22" s="172" customFormat="1" ht="20.25" customHeight="1">
      <c r="A870" s="263" t="str">
        <f t="shared" si="473"/>
        <v/>
      </c>
      <c r="B870" s="263"/>
      <c r="C870" s="264">
        <f t="shared" si="437"/>
        <v>869</v>
      </c>
      <c r="D870" s="277" t="s">
        <v>1477</v>
      </c>
      <c r="E870" s="293">
        <f t="shared" si="486"/>
        <v>868</v>
      </c>
      <c r="F870" s="267" t="s">
        <v>121</v>
      </c>
      <c r="G870" s="267"/>
      <c r="H870" s="308">
        <f>H865</f>
        <v>18</v>
      </c>
      <c r="I870" s="308"/>
      <c r="J870" s="308">
        <f t="shared" ref="J870:K870" si="491">J865</f>
        <v>0</v>
      </c>
      <c r="K870" s="308" t="str">
        <f t="shared" si="491"/>
        <v>mm</v>
      </c>
      <c r="L870" s="367" t="str">
        <f t="shared" ref="L870" si="492">J870&amp;" "&amp;K870</f>
        <v>0 mm</v>
      </c>
      <c r="M870" s="326">
        <f t="shared" si="483"/>
        <v>1</v>
      </c>
      <c r="N870" s="271" t="s">
        <v>81</v>
      </c>
      <c r="O870" s="297">
        <f t="shared" si="484"/>
        <v>0</v>
      </c>
      <c r="P870" s="271" t="s">
        <v>139</v>
      </c>
      <c r="Q870" s="324">
        <f>VLOOKUP(H870,BM!$B$3:$Y$62,6,FALSE)</f>
        <v>1</v>
      </c>
      <c r="R870" s="271" t="s">
        <v>112</v>
      </c>
      <c r="S870" s="290">
        <f t="shared" si="485"/>
        <v>0</v>
      </c>
      <c r="T870" s="275">
        <v>1</v>
      </c>
      <c r="U870" s="290">
        <f t="shared" si="479"/>
        <v>1</v>
      </c>
      <c r="V870" s="276" t="s">
        <v>48</v>
      </c>
    </row>
    <row r="871" spans="1:22" s="172" customFormat="1" ht="20.25" customHeight="1">
      <c r="A871" s="263">
        <f t="shared" si="473"/>
        <v>870</v>
      </c>
      <c r="B871" s="263" t="s">
        <v>1263</v>
      </c>
      <c r="C871" s="264">
        <f t="shared" si="437"/>
        <v>870</v>
      </c>
      <c r="D871" s="265" t="s">
        <v>1478</v>
      </c>
      <c r="E871" s="279">
        <f>C866</f>
        <v>865</v>
      </c>
      <c r="F871" s="267"/>
      <c r="G871" s="267"/>
      <c r="H871" s="268"/>
      <c r="I871" s="268"/>
      <c r="J871" s="269"/>
      <c r="K871" s="269"/>
      <c r="L871" s="269"/>
      <c r="M871" s="319"/>
      <c r="N871" s="271"/>
      <c r="O871" s="280"/>
      <c r="P871" s="271"/>
      <c r="Q871" s="281"/>
      <c r="R871" s="271"/>
      <c r="S871" s="312"/>
      <c r="T871" s="282"/>
      <c r="U871" s="312"/>
      <c r="V871" s="276"/>
    </row>
    <row r="872" spans="1:22" s="172" customFormat="1" ht="20.25" customHeight="1">
      <c r="A872" s="263" t="str">
        <f t="shared" si="473"/>
        <v/>
      </c>
      <c r="B872" s="263"/>
      <c r="C872" s="264">
        <f t="shared" si="437"/>
        <v>871</v>
      </c>
      <c r="D872" s="277" t="s">
        <v>1479</v>
      </c>
      <c r="E872" s="293"/>
      <c r="F872" s="267" t="s">
        <v>286</v>
      </c>
      <c r="G872" s="267"/>
      <c r="H872" s="308">
        <f>H870</f>
        <v>18</v>
      </c>
      <c r="I872" s="308"/>
      <c r="J872" s="308">
        <f t="shared" ref="J872:K872" si="493">J867</f>
        <v>2500</v>
      </c>
      <c r="K872" s="308" t="str">
        <f t="shared" si="493"/>
        <v>mm</v>
      </c>
      <c r="L872" s="367" t="str">
        <f t="shared" ref="L872" si="494">J872&amp;" "&amp;K872</f>
        <v>2500 mm</v>
      </c>
      <c r="M872" s="326">
        <f t="shared" ref="L872:M875" si="495">M867</f>
        <v>1</v>
      </c>
      <c r="N872" s="271" t="s">
        <v>81</v>
      </c>
      <c r="O872" s="305">
        <v>1</v>
      </c>
      <c r="P872" s="296" t="s">
        <v>81</v>
      </c>
      <c r="Q872" s="273">
        <v>3</v>
      </c>
      <c r="R872" s="271" t="s">
        <v>112</v>
      </c>
      <c r="S872" s="290">
        <f t="shared" ref="S872:S875" si="496">O872*Q872</f>
        <v>3</v>
      </c>
      <c r="T872" s="275">
        <v>1</v>
      </c>
      <c r="U872" s="290">
        <f t="shared" si="479"/>
        <v>4</v>
      </c>
      <c r="V872" s="276" t="s">
        <v>48</v>
      </c>
    </row>
    <row r="873" spans="1:22" s="172" customFormat="1" ht="20.25" customHeight="1">
      <c r="A873" s="263" t="str">
        <f t="shared" si="473"/>
        <v/>
      </c>
      <c r="B873" s="263"/>
      <c r="C873" s="264">
        <f t="shared" si="437"/>
        <v>872</v>
      </c>
      <c r="D873" s="277" t="s">
        <v>1479</v>
      </c>
      <c r="E873" s="293">
        <f t="shared" ref="E873:E875" si="497">C872</f>
        <v>871</v>
      </c>
      <c r="F873" s="267" t="s">
        <v>286</v>
      </c>
      <c r="G873" s="267"/>
      <c r="H873" s="308">
        <f>H870</f>
        <v>18</v>
      </c>
      <c r="I873" s="308"/>
      <c r="J873" s="308">
        <f t="shared" ref="J873:K873" si="498">J868</f>
        <v>2500</v>
      </c>
      <c r="K873" s="308" t="str">
        <f t="shared" si="498"/>
        <v>mm</v>
      </c>
      <c r="L873" s="367" t="str">
        <f t="shared" ref="L873" si="499">J873&amp;" "&amp;K873</f>
        <v>2500 mm</v>
      </c>
      <c r="M873" s="326">
        <f t="shared" si="495"/>
        <v>1</v>
      </c>
      <c r="N873" s="271" t="s">
        <v>81</v>
      </c>
      <c r="O873" s="305">
        <v>1</v>
      </c>
      <c r="P873" s="271" t="str">
        <f>P872</f>
        <v>Nos</v>
      </c>
      <c r="Q873" s="325">
        <v>3</v>
      </c>
      <c r="R873" s="271" t="s">
        <v>112</v>
      </c>
      <c r="S873" s="290">
        <f t="shared" si="496"/>
        <v>3</v>
      </c>
      <c r="T873" s="275">
        <v>1</v>
      </c>
      <c r="U873" s="290">
        <f t="shared" si="479"/>
        <v>4</v>
      </c>
      <c r="V873" s="276" t="s">
        <v>48</v>
      </c>
    </row>
    <row r="874" spans="1:22" s="172" customFormat="1" ht="20.25" customHeight="1">
      <c r="A874" s="263" t="str">
        <f t="shared" si="473"/>
        <v/>
      </c>
      <c r="B874" s="263"/>
      <c r="C874" s="264">
        <f t="shared" si="437"/>
        <v>873</v>
      </c>
      <c r="D874" s="277" t="s">
        <v>1479</v>
      </c>
      <c r="E874" s="293">
        <f t="shared" si="497"/>
        <v>872</v>
      </c>
      <c r="F874" s="267" t="s">
        <v>286</v>
      </c>
      <c r="G874" s="267"/>
      <c r="H874" s="308">
        <f>H870</f>
        <v>18</v>
      </c>
      <c r="I874" s="308"/>
      <c r="J874" s="308">
        <f t="shared" ref="J874:K874" si="500">J869</f>
        <v>1250</v>
      </c>
      <c r="K874" s="308" t="str">
        <f t="shared" si="500"/>
        <v>mm</v>
      </c>
      <c r="L874" s="367" t="str">
        <f t="shared" ref="L874" si="501">J874&amp;" "&amp;K874</f>
        <v>1250 mm</v>
      </c>
      <c r="M874" s="326">
        <f t="shared" si="495"/>
        <v>1</v>
      </c>
      <c r="N874" s="271" t="s">
        <v>81</v>
      </c>
      <c r="O874" s="305">
        <v>1</v>
      </c>
      <c r="P874" s="271" t="str">
        <f>P873</f>
        <v>Nos</v>
      </c>
      <c r="Q874" s="325">
        <v>3</v>
      </c>
      <c r="R874" s="271" t="s">
        <v>112</v>
      </c>
      <c r="S874" s="290">
        <f t="shared" si="496"/>
        <v>3</v>
      </c>
      <c r="T874" s="275">
        <v>1</v>
      </c>
      <c r="U874" s="290">
        <f t="shared" si="479"/>
        <v>4</v>
      </c>
      <c r="V874" s="276" t="s">
        <v>48</v>
      </c>
    </row>
    <row r="875" spans="1:22" s="172" customFormat="1" ht="20.25" customHeight="1">
      <c r="A875" s="263" t="str">
        <f t="shared" si="473"/>
        <v/>
      </c>
      <c r="B875" s="263"/>
      <c r="C875" s="264">
        <f t="shared" si="437"/>
        <v>874</v>
      </c>
      <c r="D875" s="277" t="s">
        <v>1479</v>
      </c>
      <c r="E875" s="293">
        <f t="shared" si="497"/>
        <v>873</v>
      </c>
      <c r="F875" s="267" t="s">
        <v>286</v>
      </c>
      <c r="G875" s="267"/>
      <c r="H875" s="308">
        <f>H870</f>
        <v>18</v>
      </c>
      <c r="I875" s="308"/>
      <c r="J875" s="308">
        <f t="shared" ref="J875:K875" si="502">J870</f>
        <v>0</v>
      </c>
      <c r="K875" s="308" t="str">
        <f t="shared" si="502"/>
        <v>mm</v>
      </c>
      <c r="L875" s="367" t="str">
        <f t="shared" ref="L875" si="503">J875&amp;" "&amp;K875</f>
        <v>0 mm</v>
      </c>
      <c r="M875" s="326">
        <v>0</v>
      </c>
      <c r="N875" s="271" t="s">
        <v>81</v>
      </c>
      <c r="O875" s="305">
        <v>0</v>
      </c>
      <c r="P875" s="271" t="str">
        <f>P874</f>
        <v>Nos</v>
      </c>
      <c r="Q875" s="325">
        <v>0</v>
      </c>
      <c r="R875" s="271" t="s">
        <v>112</v>
      </c>
      <c r="S875" s="290">
        <f t="shared" si="496"/>
        <v>0</v>
      </c>
      <c r="T875" s="275"/>
      <c r="U875" s="307"/>
      <c r="V875" s="276" t="s">
        <v>48</v>
      </c>
    </row>
    <row r="876" spans="1:22" s="172" customFormat="1" ht="20.25" customHeight="1">
      <c r="A876" s="263">
        <f t="shared" si="473"/>
        <v>875</v>
      </c>
      <c r="B876" s="263" t="s">
        <v>1263</v>
      </c>
      <c r="C876" s="264">
        <f t="shared" si="437"/>
        <v>875</v>
      </c>
      <c r="D876" s="265" t="s">
        <v>1480</v>
      </c>
      <c r="E876" s="279">
        <f>C871</f>
        <v>870</v>
      </c>
      <c r="F876" s="267"/>
      <c r="G876" s="267"/>
      <c r="H876" s="268"/>
      <c r="I876" s="268"/>
      <c r="J876" s="269"/>
      <c r="K876" s="269"/>
      <c r="L876" s="269"/>
      <c r="M876" s="319"/>
      <c r="N876" s="271"/>
      <c r="O876" s="280"/>
      <c r="P876" s="271"/>
      <c r="Q876" s="281"/>
      <c r="R876" s="271"/>
      <c r="S876" s="312"/>
      <c r="T876" s="282"/>
      <c r="U876" s="312"/>
      <c r="V876" s="276"/>
    </row>
    <row r="877" spans="1:22" s="172" customFormat="1" ht="20.25" customHeight="1">
      <c r="A877" s="263" t="str">
        <f t="shared" si="473"/>
        <v/>
      </c>
      <c r="B877" s="263"/>
      <c r="C877" s="264">
        <f t="shared" si="437"/>
        <v>876</v>
      </c>
      <c r="D877" s="277" t="s">
        <v>1481</v>
      </c>
      <c r="E877" s="293"/>
      <c r="F877" s="267" t="s">
        <v>289</v>
      </c>
      <c r="G877" s="267"/>
      <c r="H877" s="308">
        <f>H875</f>
        <v>18</v>
      </c>
      <c r="I877" s="308"/>
      <c r="J877" s="308">
        <f>J872</f>
        <v>2500</v>
      </c>
      <c r="K877" s="308" t="str">
        <f>K872</f>
        <v>mm</v>
      </c>
      <c r="L877" s="367" t="str">
        <f t="shared" ref="L877" si="504">J877&amp;" "&amp;K877</f>
        <v>2500 mm</v>
      </c>
      <c r="M877" s="319">
        <v>1</v>
      </c>
      <c r="N877" s="271" t="s">
        <v>81</v>
      </c>
      <c r="O877" s="318">
        <v>1</v>
      </c>
      <c r="P877" s="271" t="s">
        <v>81</v>
      </c>
      <c r="Q877" s="324">
        <f>VLOOKUP(H877,BM!$B$3:$Y$62,8,FALSE)</f>
        <v>0.3</v>
      </c>
      <c r="R877" s="271" t="s">
        <v>112</v>
      </c>
      <c r="S877" s="290">
        <f t="shared" ref="S877:S880" si="505">O877*Q877</f>
        <v>0.3</v>
      </c>
      <c r="T877" s="275">
        <v>1</v>
      </c>
      <c r="U877" s="290">
        <f t="shared" si="479"/>
        <v>1.3</v>
      </c>
      <c r="V877" s="276" t="s">
        <v>48</v>
      </c>
    </row>
    <row r="878" spans="1:22" s="172" customFormat="1" ht="20.25" customHeight="1">
      <c r="A878" s="263" t="str">
        <f t="shared" si="473"/>
        <v/>
      </c>
      <c r="B878" s="263"/>
      <c r="C878" s="264">
        <f t="shared" si="437"/>
        <v>877</v>
      </c>
      <c r="D878" s="277" t="s">
        <v>1481</v>
      </c>
      <c r="E878" s="293">
        <f t="shared" ref="E878:E880" si="506">C877</f>
        <v>876</v>
      </c>
      <c r="F878" s="267" t="s">
        <v>289</v>
      </c>
      <c r="G878" s="267"/>
      <c r="H878" s="308">
        <f>H875</f>
        <v>18</v>
      </c>
      <c r="I878" s="308"/>
      <c r="J878" s="308">
        <f>J873</f>
        <v>2500</v>
      </c>
      <c r="K878" s="308" t="str">
        <f>K873</f>
        <v>mm</v>
      </c>
      <c r="L878" s="367" t="str">
        <f t="shared" ref="L878" si="507">J878&amp;" "&amp;K878</f>
        <v>2500 mm</v>
      </c>
      <c r="M878" s="319">
        <v>1</v>
      </c>
      <c r="N878" s="271" t="s">
        <v>81</v>
      </c>
      <c r="O878" s="318">
        <v>1</v>
      </c>
      <c r="P878" s="271" t="s">
        <v>81</v>
      </c>
      <c r="Q878" s="324">
        <f>VLOOKUP(H878,BM!$B$3:$Y$62,8,FALSE)</f>
        <v>0.3</v>
      </c>
      <c r="R878" s="271" t="s">
        <v>112</v>
      </c>
      <c r="S878" s="290">
        <f t="shared" si="505"/>
        <v>0.3</v>
      </c>
      <c r="T878" s="275">
        <v>1</v>
      </c>
      <c r="U878" s="290">
        <f t="shared" si="479"/>
        <v>1.3</v>
      </c>
      <c r="V878" s="276" t="s">
        <v>48</v>
      </c>
    </row>
    <row r="879" spans="1:22" s="172" customFormat="1" ht="20.25" customHeight="1">
      <c r="A879" s="263" t="str">
        <f t="shared" si="473"/>
        <v/>
      </c>
      <c r="B879" s="263"/>
      <c r="C879" s="264">
        <f t="shared" si="437"/>
        <v>878</v>
      </c>
      <c r="D879" s="277" t="s">
        <v>1481</v>
      </c>
      <c r="E879" s="293">
        <f t="shared" si="506"/>
        <v>877</v>
      </c>
      <c r="F879" s="267" t="s">
        <v>289</v>
      </c>
      <c r="G879" s="267"/>
      <c r="H879" s="308">
        <f>H875</f>
        <v>18</v>
      </c>
      <c r="I879" s="308"/>
      <c r="J879" s="308">
        <f>J874</f>
        <v>1250</v>
      </c>
      <c r="K879" s="308" t="str">
        <f>K874</f>
        <v>mm</v>
      </c>
      <c r="L879" s="367" t="str">
        <f t="shared" ref="L879" si="508">J879&amp;" "&amp;K879</f>
        <v>1250 mm</v>
      </c>
      <c r="M879" s="319">
        <v>1</v>
      </c>
      <c r="N879" s="271" t="s">
        <v>81</v>
      </c>
      <c r="O879" s="318">
        <v>1</v>
      </c>
      <c r="P879" s="271" t="s">
        <v>81</v>
      </c>
      <c r="Q879" s="324">
        <f>VLOOKUP(H879,BM!$B$3:$Y$62,8,FALSE)</f>
        <v>0.3</v>
      </c>
      <c r="R879" s="271" t="s">
        <v>112</v>
      </c>
      <c r="S879" s="290">
        <f t="shared" si="505"/>
        <v>0.3</v>
      </c>
      <c r="T879" s="275">
        <v>1</v>
      </c>
      <c r="U879" s="290">
        <f t="shared" si="479"/>
        <v>1.3</v>
      </c>
      <c r="V879" s="276" t="s">
        <v>48</v>
      </c>
    </row>
    <row r="880" spans="1:22" s="172" customFormat="1" ht="20.25" customHeight="1">
      <c r="A880" s="263" t="str">
        <f t="shared" si="473"/>
        <v/>
      </c>
      <c r="B880" s="263"/>
      <c r="C880" s="264">
        <f t="shared" si="437"/>
        <v>879</v>
      </c>
      <c r="D880" s="277" t="s">
        <v>1481</v>
      </c>
      <c r="E880" s="293">
        <f t="shared" si="506"/>
        <v>878</v>
      </c>
      <c r="F880" s="267" t="s">
        <v>289</v>
      </c>
      <c r="G880" s="267"/>
      <c r="H880" s="308">
        <f>H875</f>
        <v>18</v>
      </c>
      <c r="I880" s="308"/>
      <c r="J880" s="308">
        <f>J875</f>
        <v>0</v>
      </c>
      <c r="K880" s="308" t="str">
        <f>K875</f>
        <v>mm</v>
      </c>
      <c r="L880" s="367" t="str">
        <f t="shared" ref="L880" si="509">J880&amp;" "&amp;K880</f>
        <v>0 mm</v>
      </c>
      <c r="M880" s="319">
        <v>1</v>
      </c>
      <c r="N880" s="271" t="s">
        <v>81</v>
      </c>
      <c r="O880" s="318">
        <v>0</v>
      </c>
      <c r="P880" s="271" t="s">
        <v>81</v>
      </c>
      <c r="Q880" s="324">
        <f>VLOOKUP(H880,BM!$B$3:$Y$62,8,FALSE)</f>
        <v>0.3</v>
      </c>
      <c r="R880" s="271" t="s">
        <v>112</v>
      </c>
      <c r="S880" s="290">
        <f t="shared" si="505"/>
        <v>0</v>
      </c>
      <c r="T880" s="275">
        <v>1</v>
      </c>
      <c r="U880" s="290">
        <f t="shared" si="479"/>
        <v>1</v>
      </c>
      <c r="V880" s="276" t="s">
        <v>48</v>
      </c>
    </row>
    <row r="881" spans="1:22" s="172" customFormat="1" ht="20.25" customHeight="1">
      <c r="A881" s="263">
        <f t="shared" si="473"/>
        <v>880</v>
      </c>
      <c r="B881" s="263" t="s">
        <v>1263</v>
      </c>
      <c r="C881" s="264">
        <f t="shared" si="437"/>
        <v>880</v>
      </c>
      <c r="D881" s="265" t="s">
        <v>1482</v>
      </c>
      <c r="E881" s="279">
        <f>C876</f>
        <v>875</v>
      </c>
      <c r="F881" s="267"/>
      <c r="G881" s="267"/>
      <c r="H881" s="268"/>
      <c r="I881" s="268"/>
      <c r="J881" s="269"/>
      <c r="K881" s="269"/>
      <c r="L881" s="269"/>
      <c r="M881" s="319"/>
      <c r="N881" s="271"/>
      <c r="O881" s="280"/>
      <c r="P881" s="271"/>
      <c r="Q881" s="281"/>
      <c r="R881" s="271"/>
      <c r="S881" s="312"/>
      <c r="T881" s="282"/>
      <c r="U881" s="312"/>
      <c r="V881" s="276"/>
    </row>
    <row r="882" spans="1:22" s="172" customFormat="1" ht="20.25" customHeight="1">
      <c r="A882" s="263" t="str">
        <f t="shared" si="473"/>
        <v/>
      </c>
      <c r="B882" s="263"/>
      <c r="C882" s="264">
        <f t="shared" si="437"/>
        <v>881</v>
      </c>
      <c r="D882" s="277" t="s">
        <v>1483</v>
      </c>
      <c r="E882" s="293"/>
      <c r="F882" s="267" t="s">
        <v>44</v>
      </c>
      <c r="G882" s="267"/>
      <c r="H882" s="308">
        <f>H880</f>
        <v>18</v>
      </c>
      <c r="I882" s="308"/>
      <c r="J882" s="308">
        <f>J877</f>
        <v>2500</v>
      </c>
      <c r="K882" s="308" t="str">
        <f>K877</f>
        <v>mm</v>
      </c>
      <c r="L882" s="367" t="str">
        <f t="shared" ref="L882" si="510">J882&amp;" "&amp;K882</f>
        <v>2500 mm</v>
      </c>
      <c r="M882" s="319">
        <v>1</v>
      </c>
      <c r="N882" s="271" t="s">
        <v>81</v>
      </c>
      <c r="O882" s="297">
        <f t="shared" ref="O882:O885" si="511">LEFT(L882,SEARCH(" ",L882,1)-1)*M882*0.001</f>
        <v>2.5</v>
      </c>
      <c r="P882" s="271" t="s">
        <v>139</v>
      </c>
      <c r="Q882" s="324">
        <f>VLOOKUP(H882,BM!$B$3:$Y$62,9,FALSE)</f>
        <v>1</v>
      </c>
      <c r="R882" s="271" t="s">
        <v>112</v>
      </c>
      <c r="S882" s="290">
        <f t="shared" ref="S882:S885" si="512">O882*Q882</f>
        <v>2.5</v>
      </c>
      <c r="T882" s="275">
        <v>1</v>
      </c>
      <c r="U882" s="290">
        <f t="shared" si="479"/>
        <v>3.5</v>
      </c>
      <c r="V882" s="276" t="s">
        <v>48</v>
      </c>
    </row>
    <row r="883" spans="1:22" s="172" customFormat="1" ht="20.25" customHeight="1">
      <c r="A883" s="263" t="str">
        <f t="shared" si="473"/>
        <v/>
      </c>
      <c r="B883" s="263"/>
      <c r="C883" s="264">
        <f t="shared" si="437"/>
        <v>882</v>
      </c>
      <c r="D883" s="277" t="s">
        <v>1483</v>
      </c>
      <c r="E883" s="293">
        <f t="shared" ref="E883:E885" si="513">C882</f>
        <v>881</v>
      </c>
      <c r="F883" s="267" t="s">
        <v>44</v>
      </c>
      <c r="G883" s="267"/>
      <c r="H883" s="308">
        <f>H880</f>
        <v>18</v>
      </c>
      <c r="I883" s="308"/>
      <c r="J883" s="308">
        <f>J878</f>
        <v>2500</v>
      </c>
      <c r="K883" s="308" t="str">
        <f>K878</f>
        <v>mm</v>
      </c>
      <c r="L883" s="367" t="str">
        <f t="shared" ref="L883" si="514">J883&amp;" "&amp;K883</f>
        <v>2500 mm</v>
      </c>
      <c r="M883" s="319">
        <v>1</v>
      </c>
      <c r="N883" s="271" t="s">
        <v>81</v>
      </c>
      <c r="O883" s="297">
        <f t="shared" si="511"/>
        <v>2.5</v>
      </c>
      <c r="P883" s="271" t="s">
        <v>139</v>
      </c>
      <c r="Q883" s="324">
        <f>VLOOKUP(H883,BM!$B$3:$Y$62,9,FALSE)</f>
        <v>1</v>
      </c>
      <c r="R883" s="271" t="s">
        <v>112</v>
      </c>
      <c r="S883" s="290">
        <f t="shared" si="512"/>
        <v>2.5</v>
      </c>
      <c r="T883" s="275">
        <v>1</v>
      </c>
      <c r="U883" s="290">
        <f t="shared" si="479"/>
        <v>3.5</v>
      </c>
      <c r="V883" s="276" t="s">
        <v>48</v>
      </c>
    </row>
    <row r="884" spans="1:22" s="172" customFormat="1" ht="20.25" customHeight="1">
      <c r="A884" s="263" t="str">
        <f t="shared" si="473"/>
        <v/>
      </c>
      <c r="B884" s="263"/>
      <c r="C884" s="264">
        <f t="shared" si="437"/>
        <v>883</v>
      </c>
      <c r="D884" s="277" t="s">
        <v>1483</v>
      </c>
      <c r="E884" s="293">
        <f t="shared" si="513"/>
        <v>882</v>
      </c>
      <c r="F884" s="267" t="s">
        <v>44</v>
      </c>
      <c r="G884" s="267"/>
      <c r="H884" s="308">
        <f>H880</f>
        <v>18</v>
      </c>
      <c r="I884" s="308"/>
      <c r="J884" s="308">
        <f>J879</f>
        <v>1250</v>
      </c>
      <c r="K884" s="308" t="str">
        <f>K879</f>
        <v>mm</v>
      </c>
      <c r="L884" s="367" t="str">
        <f t="shared" ref="L884" si="515">J884&amp;" "&amp;K884</f>
        <v>1250 mm</v>
      </c>
      <c r="M884" s="319">
        <v>1</v>
      </c>
      <c r="N884" s="271" t="s">
        <v>81</v>
      </c>
      <c r="O884" s="297">
        <f t="shared" si="511"/>
        <v>1.25</v>
      </c>
      <c r="P884" s="271" t="s">
        <v>139</v>
      </c>
      <c r="Q884" s="324">
        <f>VLOOKUP(H884,BM!$B$3:$Y$62,9,FALSE)</f>
        <v>1</v>
      </c>
      <c r="R884" s="271" t="s">
        <v>112</v>
      </c>
      <c r="S884" s="290">
        <f t="shared" si="512"/>
        <v>1.25</v>
      </c>
      <c r="T884" s="275">
        <v>1</v>
      </c>
      <c r="U884" s="290">
        <f t="shared" si="479"/>
        <v>2.25</v>
      </c>
      <c r="V884" s="276" t="s">
        <v>48</v>
      </c>
    </row>
    <row r="885" spans="1:22" s="172" customFormat="1" ht="20.25" customHeight="1">
      <c r="A885" s="263" t="str">
        <f t="shared" si="473"/>
        <v/>
      </c>
      <c r="B885" s="263"/>
      <c r="C885" s="264">
        <f t="shared" si="437"/>
        <v>884</v>
      </c>
      <c r="D885" s="277" t="s">
        <v>1483</v>
      </c>
      <c r="E885" s="293">
        <f t="shared" si="513"/>
        <v>883</v>
      </c>
      <c r="F885" s="267" t="s">
        <v>44</v>
      </c>
      <c r="G885" s="267"/>
      <c r="H885" s="308">
        <f>H880</f>
        <v>18</v>
      </c>
      <c r="I885" s="308"/>
      <c r="J885" s="308">
        <f>J880</f>
        <v>0</v>
      </c>
      <c r="K885" s="308" t="str">
        <f>K880</f>
        <v>mm</v>
      </c>
      <c r="L885" s="367" t="str">
        <f t="shared" ref="L885" si="516">J885&amp;" "&amp;K885</f>
        <v>0 mm</v>
      </c>
      <c r="M885" s="319">
        <v>1</v>
      </c>
      <c r="N885" s="271" t="s">
        <v>81</v>
      </c>
      <c r="O885" s="297">
        <f t="shared" si="511"/>
        <v>0</v>
      </c>
      <c r="P885" s="271" t="s">
        <v>139</v>
      </c>
      <c r="Q885" s="324">
        <f>VLOOKUP(H885,BM!$B$3:$Y$62,9,FALSE)</f>
        <v>1</v>
      </c>
      <c r="R885" s="271" t="s">
        <v>112</v>
      </c>
      <c r="S885" s="290">
        <f t="shared" si="512"/>
        <v>0</v>
      </c>
      <c r="T885" s="275">
        <v>1</v>
      </c>
      <c r="U885" s="290">
        <f t="shared" si="479"/>
        <v>1</v>
      </c>
      <c r="V885" s="276" t="s">
        <v>48</v>
      </c>
    </row>
    <row r="886" spans="1:22" s="172" customFormat="1" ht="20.25" customHeight="1">
      <c r="A886" s="263">
        <f t="shared" si="473"/>
        <v>885</v>
      </c>
      <c r="B886" s="263" t="s">
        <v>1263</v>
      </c>
      <c r="C886" s="264">
        <f t="shared" si="437"/>
        <v>885</v>
      </c>
      <c r="D886" s="265" t="s">
        <v>1484</v>
      </c>
      <c r="E886" s="279">
        <f>C881</f>
        <v>880</v>
      </c>
      <c r="F886" s="267"/>
      <c r="G886" s="267"/>
      <c r="H886" s="268"/>
      <c r="I886" s="268"/>
      <c r="J886" s="269"/>
      <c r="K886" s="269"/>
      <c r="L886" s="269"/>
      <c r="M886" s="319"/>
      <c r="N886" s="271"/>
      <c r="O886" s="280"/>
      <c r="P886" s="271"/>
      <c r="Q886" s="281"/>
      <c r="R886" s="271"/>
      <c r="S886" s="312"/>
      <c r="T886" s="282"/>
      <c r="U886" s="312"/>
      <c r="V886" s="276"/>
    </row>
    <row r="887" spans="1:22" s="172" customFormat="1" ht="20.25" customHeight="1">
      <c r="A887" s="263" t="str">
        <f t="shared" si="473"/>
        <v/>
      </c>
      <c r="B887" s="263"/>
      <c r="C887" s="264">
        <f t="shared" si="437"/>
        <v>886</v>
      </c>
      <c r="D887" s="277" t="s">
        <v>1485</v>
      </c>
      <c r="E887" s="293"/>
      <c r="F887" s="267" t="s">
        <v>286</v>
      </c>
      <c r="G887" s="267"/>
      <c r="H887" s="308">
        <f>H885</f>
        <v>18</v>
      </c>
      <c r="I887" s="308"/>
      <c r="J887" s="308">
        <f>J882</f>
        <v>2500</v>
      </c>
      <c r="K887" s="308" t="str">
        <f>K882</f>
        <v>mm</v>
      </c>
      <c r="L887" s="367" t="str">
        <f t="shared" ref="L887" si="517">J887&amp;" "&amp;K887</f>
        <v>2500 mm</v>
      </c>
      <c r="M887" s="319">
        <v>1</v>
      </c>
      <c r="N887" s="271" t="s">
        <v>81</v>
      </c>
      <c r="O887" s="327">
        <f>M887</f>
        <v>1</v>
      </c>
      <c r="P887" s="296" t="s">
        <v>81</v>
      </c>
      <c r="Q887" s="273">
        <v>3</v>
      </c>
      <c r="R887" s="271" t="s">
        <v>112</v>
      </c>
      <c r="S887" s="290">
        <f t="shared" ref="S887:S900" si="518">O887*Q887</f>
        <v>3</v>
      </c>
      <c r="T887" s="275">
        <v>1</v>
      </c>
      <c r="U887" s="290">
        <f t="shared" si="479"/>
        <v>4</v>
      </c>
      <c r="V887" s="276" t="s">
        <v>48</v>
      </c>
    </row>
    <row r="888" spans="1:22" s="172" customFormat="1" ht="20.25" customHeight="1">
      <c r="A888" s="263" t="str">
        <f t="shared" si="473"/>
        <v/>
      </c>
      <c r="B888" s="263"/>
      <c r="C888" s="264">
        <f t="shared" si="437"/>
        <v>887</v>
      </c>
      <c r="D888" s="277" t="s">
        <v>1486</v>
      </c>
      <c r="E888" s="293">
        <f t="shared" ref="E888:E890" si="519">C887</f>
        <v>886</v>
      </c>
      <c r="F888" s="267" t="s">
        <v>286</v>
      </c>
      <c r="G888" s="267"/>
      <c r="H888" s="308">
        <f>H885</f>
        <v>18</v>
      </c>
      <c r="I888" s="308"/>
      <c r="J888" s="308">
        <f>J883</f>
        <v>2500</v>
      </c>
      <c r="K888" s="308" t="str">
        <f>K883</f>
        <v>mm</v>
      </c>
      <c r="L888" s="367" t="str">
        <f t="shared" ref="L888" si="520">J888&amp;" "&amp;K888</f>
        <v>2500 mm</v>
      </c>
      <c r="M888" s="319">
        <v>1</v>
      </c>
      <c r="N888" s="271" t="s">
        <v>81</v>
      </c>
      <c r="O888" s="327">
        <f>M888</f>
        <v>1</v>
      </c>
      <c r="P888" s="296" t="s">
        <v>81</v>
      </c>
      <c r="Q888" s="324">
        <f>Q887</f>
        <v>3</v>
      </c>
      <c r="R888" s="271" t="s">
        <v>112</v>
      </c>
      <c r="S888" s="290">
        <f t="shared" si="518"/>
        <v>3</v>
      </c>
      <c r="T888" s="275">
        <v>1</v>
      </c>
      <c r="U888" s="290">
        <f t="shared" si="479"/>
        <v>4</v>
      </c>
      <c r="V888" s="276" t="s">
        <v>48</v>
      </c>
    </row>
    <row r="889" spans="1:22" s="172" customFormat="1" ht="20.25" customHeight="1">
      <c r="A889" s="263" t="str">
        <f t="shared" si="473"/>
        <v/>
      </c>
      <c r="B889" s="263"/>
      <c r="C889" s="264">
        <f t="shared" si="437"/>
        <v>888</v>
      </c>
      <c r="D889" s="277" t="s">
        <v>1486</v>
      </c>
      <c r="E889" s="293">
        <f t="shared" si="519"/>
        <v>887</v>
      </c>
      <c r="F889" s="267" t="s">
        <v>286</v>
      </c>
      <c r="G889" s="267"/>
      <c r="H889" s="308">
        <f>H885</f>
        <v>18</v>
      </c>
      <c r="I889" s="308"/>
      <c r="J889" s="308">
        <f>J884</f>
        <v>1250</v>
      </c>
      <c r="K889" s="308" t="str">
        <f>K884</f>
        <v>mm</v>
      </c>
      <c r="L889" s="367" t="str">
        <f t="shared" ref="L889" si="521">J889&amp;" "&amp;K889</f>
        <v>1250 mm</v>
      </c>
      <c r="M889" s="319">
        <v>1</v>
      </c>
      <c r="N889" s="271" t="s">
        <v>81</v>
      </c>
      <c r="O889" s="327">
        <f>M889</f>
        <v>1</v>
      </c>
      <c r="P889" s="296" t="s">
        <v>81</v>
      </c>
      <c r="Q889" s="324">
        <f>Q888</f>
        <v>3</v>
      </c>
      <c r="R889" s="271" t="s">
        <v>112</v>
      </c>
      <c r="S889" s="290">
        <f t="shared" si="518"/>
        <v>3</v>
      </c>
      <c r="T889" s="275">
        <v>1</v>
      </c>
      <c r="U889" s="290">
        <f t="shared" si="479"/>
        <v>4</v>
      </c>
      <c r="V889" s="276" t="s">
        <v>48</v>
      </c>
    </row>
    <row r="890" spans="1:22" s="172" customFormat="1" ht="20.25" customHeight="1">
      <c r="A890" s="263" t="str">
        <f t="shared" si="473"/>
        <v/>
      </c>
      <c r="B890" s="263"/>
      <c r="C890" s="264">
        <f t="shared" si="437"/>
        <v>889</v>
      </c>
      <c r="D890" s="277" t="s">
        <v>1486</v>
      </c>
      <c r="E890" s="293">
        <f t="shared" si="519"/>
        <v>888</v>
      </c>
      <c r="F890" s="267" t="s">
        <v>286</v>
      </c>
      <c r="G890" s="267"/>
      <c r="H890" s="308">
        <f>H885</f>
        <v>18</v>
      </c>
      <c r="I890" s="308"/>
      <c r="J890" s="308">
        <f>J885</f>
        <v>0</v>
      </c>
      <c r="K890" s="308" t="str">
        <f>K885</f>
        <v>mm</v>
      </c>
      <c r="L890" s="367" t="str">
        <f t="shared" ref="L890" si="522">J890&amp;" "&amp;K890</f>
        <v>0 mm</v>
      </c>
      <c r="M890" s="319">
        <v>1</v>
      </c>
      <c r="N890" s="271" t="s">
        <v>81</v>
      </c>
      <c r="O890" s="327">
        <f>M890</f>
        <v>1</v>
      </c>
      <c r="P890" s="296" t="s">
        <v>81</v>
      </c>
      <c r="Q890" s="324">
        <f>Q889</f>
        <v>3</v>
      </c>
      <c r="R890" s="271" t="s">
        <v>112</v>
      </c>
      <c r="S890" s="290">
        <f t="shared" si="518"/>
        <v>3</v>
      </c>
      <c r="T890" s="275">
        <v>1</v>
      </c>
      <c r="U890" s="290">
        <f t="shared" si="479"/>
        <v>4</v>
      </c>
      <c r="V890" s="276" t="s">
        <v>48</v>
      </c>
    </row>
    <row r="891" spans="1:22" s="172" customFormat="1" ht="20.25" customHeight="1">
      <c r="A891" s="263">
        <f t="shared" si="473"/>
        <v>890</v>
      </c>
      <c r="B891" s="263" t="s">
        <v>1263</v>
      </c>
      <c r="C891" s="264">
        <f t="shared" si="437"/>
        <v>890</v>
      </c>
      <c r="D891" s="265" t="s">
        <v>1487</v>
      </c>
      <c r="E891" s="279">
        <f>C886</f>
        <v>885</v>
      </c>
      <c r="F891" s="267"/>
      <c r="G891" s="267"/>
      <c r="H891" s="268"/>
      <c r="I891" s="268"/>
      <c r="J891" s="269"/>
      <c r="K891" s="269"/>
      <c r="L891" s="269"/>
      <c r="M891" s="319"/>
      <c r="N891" s="271"/>
      <c r="O891" s="272"/>
      <c r="P891" s="271"/>
      <c r="Q891" s="273"/>
      <c r="R891" s="271"/>
      <c r="S891" s="290">
        <f t="shared" si="518"/>
        <v>0</v>
      </c>
      <c r="T891" s="275"/>
      <c r="U891" s="307"/>
      <c r="V891" s="276"/>
    </row>
    <row r="892" spans="1:22" s="172" customFormat="1" ht="20.25" customHeight="1">
      <c r="A892" s="263" t="str">
        <f t="shared" si="473"/>
        <v/>
      </c>
      <c r="B892" s="263"/>
      <c r="C892" s="264">
        <f t="shared" si="437"/>
        <v>891</v>
      </c>
      <c r="D892" s="277" t="s">
        <v>1488</v>
      </c>
      <c r="E892" s="293"/>
      <c r="F892" s="267" t="s">
        <v>201</v>
      </c>
      <c r="G892" s="267"/>
      <c r="H892" s="308">
        <f>H890</f>
        <v>18</v>
      </c>
      <c r="I892" s="308"/>
      <c r="J892" s="308">
        <f>J887</f>
        <v>2500</v>
      </c>
      <c r="K892" s="308" t="str">
        <f>K887</f>
        <v>mm</v>
      </c>
      <c r="L892" s="367" t="str">
        <f t="shared" ref="L892" si="523">J892&amp;" "&amp;K892</f>
        <v>2500 mm</v>
      </c>
      <c r="M892" s="319">
        <v>1</v>
      </c>
      <c r="N892" s="271" t="s">
        <v>81</v>
      </c>
      <c r="O892" s="297">
        <f t="shared" ref="O892:O895" si="524">LEFT(L892,SEARCH(" ",L892,1)-1)*M892*0.001</f>
        <v>2.5</v>
      </c>
      <c r="P892" s="271" t="s">
        <v>139</v>
      </c>
      <c r="Q892" s="324">
        <f>VLOOKUP(H892,BM!$B$3:$Y$62,9,FALSE)</f>
        <v>1</v>
      </c>
      <c r="R892" s="271" t="s">
        <v>112</v>
      </c>
      <c r="S892" s="290">
        <f t="shared" si="518"/>
        <v>2.5</v>
      </c>
      <c r="T892" s="275">
        <v>1</v>
      </c>
      <c r="U892" s="290">
        <f t="shared" si="479"/>
        <v>3.5</v>
      </c>
      <c r="V892" s="276" t="s">
        <v>48</v>
      </c>
    </row>
    <row r="893" spans="1:22" s="172" customFormat="1" ht="20.25" customHeight="1">
      <c r="A893" s="263" t="str">
        <f t="shared" si="473"/>
        <v/>
      </c>
      <c r="B893" s="263"/>
      <c r="C893" s="264">
        <f t="shared" si="437"/>
        <v>892</v>
      </c>
      <c r="D893" s="277" t="s">
        <v>1488</v>
      </c>
      <c r="E893" s="293">
        <f t="shared" ref="E893:E895" si="525">C892</f>
        <v>891</v>
      </c>
      <c r="F893" s="267" t="s">
        <v>201</v>
      </c>
      <c r="G893" s="267"/>
      <c r="H893" s="308">
        <f>H890</f>
        <v>18</v>
      </c>
      <c r="I893" s="308"/>
      <c r="J893" s="308">
        <f>J888</f>
        <v>2500</v>
      </c>
      <c r="K893" s="308" t="str">
        <f>K888</f>
        <v>mm</v>
      </c>
      <c r="L893" s="367" t="str">
        <f t="shared" ref="L893" si="526">J893&amp;" "&amp;K893</f>
        <v>2500 mm</v>
      </c>
      <c r="M893" s="319">
        <v>1</v>
      </c>
      <c r="N893" s="271" t="s">
        <v>81</v>
      </c>
      <c r="O893" s="297">
        <f t="shared" si="524"/>
        <v>2.5</v>
      </c>
      <c r="P893" s="271" t="s">
        <v>139</v>
      </c>
      <c r="Q893" s="324">
        <f>VLOOKUP(H893,BM!$B$3:$Y$62,9,FALSE)</f>
        <v>1</v>
      </c>
      <c r="R893" s="271" t="s">
        <v>112</v>
      </c>
      <c r="S893" s="290">
        <f t="shared" si="518"/>
        <v>2.5</v>
      </c>
      <c r="T893" s="275">
        <v>1</v>
      </c>
      <c r="U893" s="290">
        <f t="shared" si="479"/>
        <v>3.5</v>
      </c>
      <c r="V893" s="276" t="s">
        <v>48</v>
      </c>
    </row>
    <row r="894" spans="1:22" s="172" customFormat="1" ht="20.25" customHeight="1">
      <c r="A894" s="263" t="str">
        <f t="shared" si="473"/>
        <v/>
      </c>
      <c r="B894" s="263"/>
      <c r="C894" s="264">
        <f t="shared" si="437"/>
        <v>893</v>
      </c>
      <c r="D894" s="277" t="s">
        <v>1488</v>
      </c>
      <c r="E894" s="293">
        <f t="shared" si="525"/>
        <v>892</v>
      </c>
      <c r="F894" s="267" t="s">
        <v>201</v>
      </c>
      <c r="G894" s="267"/>
      <c r="H894" s="308">
        <f>H890</f>
        <v>18</v>
      </c>
      <c r="I894" s="308"/>
      <c r="J894" s="308">
        <f>J889</f>
        <v>1250</v>
      </c>
      <c r="K894" s="308" t="str">
        <f>K889</f>
        <v>mm</v>
      </c>
      <c r="L894" s="367" t="str">
        <f t="shared" ref="L894" si="527">J894&amp;" "&amp;K894</f>
        <v>1250 mm</v>
      </c>
      <c r="M894" s="319">
        <v>1</v>
      </c>
      <c r="N894" s="271" t="s">
        <v>81</v>
      </c>
      <c r="O894" s="297">
        <f t="shared" si="524"/>
        <v>1.25</v>
      </c>
      <c r="P894" s="271" t="s">
        <v>139</v>
      </c>
      <c r="Q894" s="324">
        <f>VLOOKUP(H894,BM!$B$3:$Y$62,9,FALSE)</f>
        <v>1</v>
      </c>
      <c r="R894" s="271" t="s">
        <v>112</v>
      </c>
      <c r="S894" s="290">
        <f t="shared" si="518"/>
        <v>1.25</v>
      </c>
      <c r="T894" s="275">
        <v>1</v>
      </c>
      <c r="U894" s="290">
        <f t="shared" si="479"/>
        <v>2.25</v>
      </c>
      <c r="V894" s="276" t="s">
        <v>48</v>
      </c>
    </row>
    <row r="895" spans="1:22" s="172" customFormat="1" ht="20.25" customHeight="1">
      <c r="A895" s="263" t="str">
        <f t="shared" si="473"/>
        <v/>
      </c>
      <c r="B895" s="263"/>
      <c r="C895" s="264">
        <f t="shared" si="437"/>
        <v>894</v>
      </c>
      <c r="D895" s="277" t="s">
        <v>1488</v>
      </c>
      <c r="E895" s="293">
        <f t="shared" si="525"/>
        <v>893</v>
      </c>
      <c r="F895" s="267" t="s">
        <v>201</v>
      </c>
      <c r="G895" s="267"/>
      <c r="H895" s="308">
        <f>H890</f>
        <v>18</v>
      </c>
      <c r="I895" s="308"/>
      <c r="J895" s="308">
        <f>J890</f>
        <v>0</v>
      </c>
      <c r="K895" s="308" t="str">
        <f>K890</f>
        <v>mm</v>
      </c>
      <c r="L895" s="367" t="str">
        <f t="shared" ref="L895" si="528">J895&amp;" "&amp;K895</f>
        <v>0 mm</v>
      </c>
      <c r="M895" s="319">
        <v>1</v>
      </c>
      <c r="N895" s="271" t="s">
        <v>81</v>
      </c>
      <c r="O895" s="297">
        <f t="shared" si="524"/>
        <v>0</v>
      </c>
      <c r="P895" s="271" t="s">
        <v>139</v>
      </c>
      <c r="Q895" s="324">
        <f>VLOOKUP(H895,BM!$B$3:$Y$62,9,FALSE)</f>
        <v>1</v>
      </c>
      <c r="R895" s="271" t="s">
        <v>112</v>
      </c>
      <c r="S895" s="290">
        <f t="shared" si="518"/>
        <v>0</v>
      </c>
      <c r="T895" s="275">
        <v>1</v>
      </c>
      <c r="U895" s="290">
        <f t="shared" si="479"/>
        <v>1</v>
      </c>
      <c r="V895" s="276" t="s">
        <v>48</v>
      </c>
    </row>
    <row r="896" spans="1:22" s="172" customFormat="1" ht="20.25" customHeight="1">
      <c r="A896" s="263">
        <f t="shared" si="473"/>
        <v>895</v>
      </c>
      <c r="B896" s="263" t="s">
        <v>1263</v>
      </c>
      <c r="C896" s="264">
        <f t="shared" si="437"/>
        <v>895</v>
      </c>
      <c r="D896" s="265" t="s">
        <v>1489</v>
      </c>
      <c r="E896" s="279">
        <f>C891</f>
        <v>890</v>
      </c>
      <c r="F896" s="267"/>
      <c r="G896" s="267"/>
      <c r="H896" s="268"/>
      <c r="I896" s="268"/>
      <c r="J896" s="269"/>
      <c r="K896" s="269"/>
      <c r="L896" s="269"/>
      <c r="M896" s="319"/>
      <c r="N896" s="271"/>
      <c r="O896" s="272"/>
      <c r="P896" s="271"/>
      <c r="Q896" s="273"/>
      <c r="R896" s="271"/>
      <c r="S896" s="290">
        <f t="shared" si="518"/>
        <v>0</v>
      </c>
      <c r="T896" s="275"/>
      <c r="U896" s="307"/>
      <c r="V896" s="276"/>
    </row>
    <row r="897" spans="1:22" s="172" customFormat="1" ht="20.25" customHeight="1">
      <c r="A897" s="263" t="str">
        <f t="shared" si="473"/>
        <v/>
      </c>
      <c r="B897" s="263"/>
      <c r="C897" s="264">
        <f t="shared" si="437"/>
        <v>896</v>
      </c>
      <c r="D897" s="277" t="s">
        <v>1490</v>
      </c>
      <c r="E897" s="293"/>
      <c r="F897" s="267"/>
      <c r="G897" s="267"/>
      <c r="H897" s="308">
        <f>H895</f>
        <v>18</v>
      </c>
      <c r="I897" s="308"/>
      <c r="J897" s="308">
        <f>J892</f>
        <v>2500</v>
      </c>
      <c r="K897" s="308" t="str">
        <f>K892</f>
        <v>mm</v>
      </c>
      <c r="L897" s="367" t="str">
        <f t="shared" ref="L897" si="529">J897&amp;" "&amp;K897</f>
        <v>2500 mm</v>
      </c>
      <c r="M897" s="319">
        <v>1</v>
      </c>
      <c r="N897" s="271" t="s">
        <v>81</v>
      </c>
      <c r="O897" s="297">
        <f t="shared" ref="O897:O900" si="530">LEFT(L897,SEARCH(" ",L897,1)-1)*M897*0.001</f>
        <v>2.5</v>
      </c>
      <c r="P897" s="271" t="s">
        <v>139</v>
      </c>
      <c r="Q897" s="324">
        <f>VLOOKUP(H897,BM!$B$3:$Y$62,10,FALSE)</f>
        <v>1</v>
      </c>
      <c r="R897" s="271" t="s">
        <v>112</v>
      </c>
      <c r="S897" s="290">
        <f t="shared" si="518"/>
        <v>2.5</v>
      </c>
      <c r="T897" s="275">
        <v>1</v>
      </c>
      <c r="U897" s="290">
        <f t="shared" si="479"/>
        <v>3.5</v>
      </c>
      <c r="V897" s="276" t="s">
        <v>48</v>
      </c>
    </row>
    <row r="898" spans="1:22" s="172" customFormat="1" ht="20.25" customHeight="1">
      <c r="A898" s="263" t="str">
        <f t="shared" si="473"/>
        <v/>
      </c>
      <c r="B898" s="263"/>
      <c r="C898" s="264">
        <f t="shared" si="437"/>
        <v>897</v>
      </c>
      <c r="D898" s="277" t="s">
        <v>1490</v>
      </c>
      <c r="E898" s="293">
        <f t="shared" ref="E898:E900" si="531">C897</f>
        <v>896</v>
      </c>
      <c r="F898" s="267" t="s">
        <v>299</v>
      </c>
      <c r="G898" s="267"/>
      <c r="H898" s="308">
        <f>H895</f>
        <v>18</v>
      </c>
      <c r="I898" s="308"/>
      <c r="J898" s="308">
        <f>J893</f>
        <v>2500</v>
      </c>
      <c r="K898" s="308" t="str">
        <f>K893</f>
        <v>mm</v>
      </c>
      <c r="L898" s="367" t="str">
        <f t="shared" ref="L898" si="532">J898&amp;" "&amp;K898</f>
        <v>2500 mm</v>
      </c>
      <c r="M898" s="319">
        <v>1</v>
      </c>
      <c r="N898" s="271" t="s">
        <v>81</v>
      </c>
      <c r="O898" s="297">
        <f t="shared" si="530"/>
        <v>2.5</v>
      </c>
      <c r="P898" s="271" t="s">
        <v>139</v>
      </c>
      <c r="Q898" s="324">
        <f>VLOOKUP(H898,BM!$B$3:$Y$62,10,FALSE)</f>
        <v>1</v>
      </c>
      <c r="R898" s="271" t="s">
        <v>112</v>
      </c>
      <c r="S898" s="290">
        <f t="shared" si="518"/>
        <v>2.5</v>
      </c>
      <c r="T898" s="275">
        <v>1</v>
      </c>
      <c r="U898" s="290">
        <f t="shared" si="479"/>
        <v>3.5</v>
      </c>
      <c r="V898" s="276" t="s">
        <v>48</v>
      </c>
    </row>
    <row r="899" spans="1:22" s="172" customFormat="1" ht="20.25" customHeight="1">
      <c r="A899" s="263" t="str">
        <f t="shared" si="473"/>
        <v/>
      </c>
      <c r="B899" s="263"/>
      <c r="C899" s="264">
        <f t="shared" si="437"/>
        <v>898</v>
      </c>
      <c r="D899" s="277" t="s">
        <v>1490</v>
      </c>
      <c r="E899" s="293">
        <f t="shared" si="531"/>
        <v>897</v>
      </c>
      <c r="F899" s="267" t="s">
        <v>299</v>
      </c>
      <c r="G899" s="267"/>
      <c r="H899" s="308">
        <f>H895</f>
        <v>18</v>
      </c>
      <c r="I899" s="308"/>
      <c r="J899" s="308">
        <f>J894</f>
        <v>1250</v>
      </c>
      <c r="K899" s="308" t="str">
        <f>K894</f>
        <v>mm</v>
      </c>
      <c r="L899" s="367" t="str">
        <f t="shared" ref="L899" si="533">J899&amp;" "&amp;K899</f>
        <v>1250 mm</v>
      </c>
      <c r="M899" s="319">
        <v>1</v>
      </c>
      <c r="N899" s="271" t="s">
        <v>81</v>
      </c>
      <c r="O899" s="297">
        <f t="shared" si="530"/>
        <v>1.25</v>
      </c>
      <c r="P899" s="271" t="s">
        <v>139</v>
      </c>
      <c r="Q899" s="324">
        <f>VLOOKUP(H899,BM!$B$3:$Y$62,10,FALSE)</f>
        <v>1</v>
      </c>
      <c r="R899" s="271" t="s">
        <v>112</v>
      </c>
      <c r="S899" s="290">
        <f t="shared" si="518"/>
        <v>1.25</v>
      </c>
      <c r="T899" s="275">
        <v>1</v>
      </c>
      <c r="U899" s="290">
        <f t="shared" si="479"/>
        <v>2.25</v>
      </c>
      <c r="V899" s="276" t="s">
        <v>48</v>
      </c>
    </row>
    <row r="900" spans="1:22" s="172" customFormat="1" ht="20.25" customHeight="1">
      <c r="A900" s="263" t="str">
        <f t="shared" si="473"/>
        <v/>
      </c>
      <c r="B900" s="263"/>
      <c r="C900" s="264">
        <f t="shared" si="437"/>
        <v>899</v>
      </c>
      <c r="D900" s="277" t="s">
        <v>1490</v>
      </c>
      <c r="E900" s="293">
        <f t="shared" si="531"/>
        <v>898</v>
      </c>
      <c r="F900" s="267" t="s">
        <v>299</v>
      </c>
      <c r="G900" s="267"/>
      <c r="H900" s="308">
        <f>H895</f>
        <v>18</v>
      </c>
      <c r="I900" s="308"/>
      <c r="J900" s="308">
        <f>J895</f>
        <v>0</v>
      </c>
      <c r="K900" s="308" t="str">
        <f>K895</f>
        <v>mm</v>
      </c>
      <c r="L900" s="367" t="str">
        <f t="shared" ref="L900" si="534">J900&amp;" "&amp;K900</f>
        <v>0 mm</v>
      </c>
      <c r="M900" s="319">
        <v>1</v>
      </c>
      <c r="N900" s="271" t="s">
        <v>81</v>
      </c>
      <c r="O900" s="297">
        <f t="shared" si="530"/>
        <v>0</v>
      </c>
      <c r="P900" s="271" t="s">
        <v>139</v>
      </c>
      <c r="Q900" s="324">
        <f>VLOOKUP(H900,BM!$B$3:$Y$62,10,FALSE)</f>
        <v>1</v>
      </c>
      <c r="R900" s="271" t="s">
        <v>112</v>
      </c>
      <c r="S900" s="290">
        <f t="shared" si="518"/>
        <v>0</v>
      </c>
      <c r="T900" s="275">
        <v>1</v>
      </c>
      <c r="U900" s="290">
        <f t="shared" si="479"/>
        <v>1</v>
      </c>
      <c r="V900" s="276" t="s">
        <v>48</v>
      </c>
    </row>
    <row r="901" spans="1:22" s="172" customFormat="1" ht="20.25" customHeight="1">
      <c r="A901" s="263">
        <f t="shared" si="473"/>
        <v>900</v>
      </c>
      <c r="B901" s="263" t="s">
        <v>1263</v>
      </c>
      <c r="C901" s="264">
        <f t="shared" ref="C901:C964" si="535">C900+1</f>
        <v>900</v>
      </c>
      <c r="D901" s="265" t="s">
        <v>1491</v>
      </c>
      <c r="E901" s="279">
        <f>C896</f>
        <v>895</v>
      </c>
      <c r="F901" s="267"/>
      <c r="G901" s="267"/>
      <c r="H901" s="268"/>
      <c r="I901" s="268"/>
      <c r="J901" s="269"/>
      <c r="K901" s="269"/>
      <c r="L901" s="269"/>
      <c r="M901" s="319"/>
      <c r="N901" s="271"/>
      <c r="O901" s="280"/>
      <c r="P901" s="271"/>
      <c r="Q901" s="281"/>
      <c r="R901" s="271"/>
      <c r="S901" s="312"/>
      <c r="T901" s="282"/>
      <c r="U901" s="312"/>
      <c r="V901" s="276"/>
    </row>
    <row r="902" spans="1:22" s="172" customFormat="1" ht="20.25" customHeight="1">
      <c r="A902" s="263" t="str">
        <f t="shared" si="473"/>
        <v/>
      </c>
      <c r="B902" s="263"/>
      <c r="C902" s="264">
        <f t="shared" si="535"/>
        <v>901</v>
      </c>
      <c r="D902" s="277" t="s">
        <v>1492</v>
      </c>
      <c r="E902" s="293"/>
      <c r="F902" s="267" t="s">
        <v>44</v>
      </c>
      <c r="G902" s="267"/>
      <c r="H902" s="308">
        <f>H900</f>
        <v>18</v>
      </c>
      <c r="I902" s="308"/>
      <c r="J902" s="308">
        <f>J897</f>
        <v>2500</v>
      </c>
      <c r="K902" s="308" t="str">
        <f>K897</f>
        <v>mm</v>
      </c>
      <c r="L902" s="367" t="str">
        <f t="shared" ref="L902" si="536">J902&amp;" "&amp;K902</f>
        <v>2500 mm</v>
      </c>
      <c r="M902" s="319">
        <v>1</v>
      </c>
      <c r="N902" s="271" t="s">
        <v>81</v>
      </c>
      <c r="O902" s="305">
        <v>1</v>
      </c>
      <c r="P902" s="296" t="s">
        <v>81</v>
      </c>
      <c r="Q902" s="324">
        <f>VLOOKUP(H902,BM!$B$3:$Y$62,11,FALSE)</f>
        <v>1</v>
      </c>
      <c r="R902" s="271" t="s">
        <v>112</v>
      </c>
      <c r="S902" s="290">
        <f t="shared" ref="S902:S905" si="537">O902*Q902</f>
        <v>1</v>
      </c>
      <c r="T902" s="275">
        <v>1</v>
      </c>
      <c r="U902" s="290">
        <f t="shared" si="479"/>
        <v>2</v>
      </c>
      <c r="V902" s="276" t="s">
        <v>48</v>
      </c>
    </row>
    <row r="903" spans="1:22" s="172" customFormat="1" ht="20.25" customHeight="1">
      <c r="A903" s="263" t="str">
        <f t="shared" si="473"/>
        <v/>
      </c>
      <c r="B903" s="263"/>
      <c r="C903" s="264">
        <f t="shared" si="535"/>
        <v>902</v>
      </c>
      <c r="D903" s="277" t="s">
        <v>1492</v>
      </c>
      <c r="E903" s="293">
        <f t="shared" ref="E903:E905" si="538">C902</f>
        <v>901</v>
      </c>
      <c r="F903" s="267" t="s">
        <v>44</v>
      </c>
      <c r="G903" s="267"/>
      <c r="H903" s="308">
        <f>H900</f>
        <v>18</v>
      </c>
      <c r="I903" s="308"/>
      <c r="J903" s="308">
        <f>J898</f>
        <v>2500</v>
      </c>
      <c r="K903" s="308" t="str">
        <f>K898</f>
        <v>mm</v>
      </c>
      <c r="L903" s="367" t="str">
        <f t="shared" ref="L903" si="539">J903&amp;" "&amp;K903</f>
        <v>2500 mm</v>
      </c>
      <c r="M903" s="319">
        <v>1</v>
      </c>
      <c r="N903" s="271" t="s">
        <v>81</v>
      </c>
      <c r="O903" s="305">
        <v>1</v>
      </c>
      <c r="P903" s="296" t="s">
        <v>81</v>
      </c>
      <c r="Q903" s="324">
        <f>VLOOKUP(H903,BM!$B$3:$Y$62,11,FALSE)</f>
        <v>1</v>
      </c>
      <c r="R903" s="271" t="s">
        <v>112</v>
      </c>
      <c r="S903" s="290">
        <f t="shared" si="537"/>
        <v>1</v>
      </c>
      <c r="T903" s="275">
        <v>1</v>
      </c>
      <c r="U903" s="290">
        <f t="shared" si="479"/>
        <v>2</v>
      </c>
      <c r="V903" s="276" t="s">
        <v>48</v>
      </c>
    </row>
    <row r="904" spans="1:22" s="172" customFormat="1" ht="20.25" customHeight="1">
      <c r="A904" s="263" t="str">
        <f t="shared" si="473"/>
        <v/>
      </c>
      <c r="B904" s="263"/>
      <c r="C904" s="264">
        <f t="shared" si="535"/>
        <v>903</v>
      </c>
      <c r="D904" s="277" t="s">
        <v>1492</v>
      </c>
      <c r="E904" s="293">
        <f t="shared" si="538"/>
        <v>902</v>
      </c>
      <c r="F904" s="267" t="s">
        <v>44</v>
      </c>
      <c r="G904" s="267"/>
      <c r="H904" s="308">
        <f>H900</f>
        <v>18</v>
      </c>
      <c r="I904" s="308"/>
      <c r="J904" s="308">
        <f>J899</f>
        <v>1250</v>
      </c>
      <c r="K904" s="308" t="str">
        <f>K899</f>
        <v>mm</v>
      </c>
      <c r="L904" s="367" t="str">
        <f t="shared" ref="L904" si="540">J904&amp;" "&amp;K904</f>
        <v>1250 mm</v>
      </c>
      <c r="M904" s="319">
        <v>1</v>
      </c>
      <c r="N904" s="271" t="s">
        <v>81</v>
      </c>
      <c r="O904" s="305">
        <v>1</v>
      </c>
      <c r="P904" s="296" t="s">
        <v>81</v>
      </c>
      <c r="Q904" s="324">
        <f>VLOOKUP(H904,BM!$B$3:$Y$62,11,FALSE)</f>
        <v>1</v>
      </c>
      <c r="R904" s="271" t="s">
        <v>112</v>
      </c>
      <c r="S904" s="290">
        <f t="shared" si="537"/>
        <v>1</v>
      </c>
      <c r="T904" s="275">
        <v>1</v>
      </c>
      <c r="U904" s="290">
        <f t="shared" si="479"/>
        <v>2</v>
      </c>
      <c r="V904" s="276" t="s">
        <v>48</v>
      </c>
    </row>
    <row r="905" spans="1:22" s="172" customFormat="1" ht="20.25" customHeight="1">
      <c r="A905" s="263" t="str">
        <f t="shared" si="473"/>
        <v/>
      </c>
      <c r="B905" s="263"/>
      <c r="C905" s="264">
        <f t="shared" si="535"/>
        <v>904</v>
      </c>
      <c r="D905" s="277" t="s">
        <v>1492</v>
      </c>
      <c r="E905" s="293">
        <f t="shared" si="538"/>
        <v>903</v>
      </c>
      <c r="F905" s="267" t="s">
        <v>44</v>
      </c>
      <c r="G905" s="267"/>
      <c r="H905" s="308">
        <f>H900</f>
        <v>18</v>
      </c>
      <c r="I905" s="308"/>
      <c r="J905" s="308">
        <f>J900</f>
        <v>0</v>
      </c>
      <c r="K905" s="308" t="str">
        <f>K900</f>
        <v>mm</v>
      </c>
      <c r="L905" s="367" t="str">
        <f t="shared" ref="L905" si="541">J905&amp;" "&amp;K905</f>
        <v>0 mm</v>
      </c>
      <c r="M905" s="319">
        <v>1</v>
      </c>
      <c r="N905" s="271" t="s">
        <v>81</v>
      </c>
      <c r="O905" s="305">
        <v>1</v>
      </c>
      <c r="P905" s="296" t="s">
        <v>81</v>
      </c>
      <c r="Q905" s="324">
        <f>VLOOKUP(H905,BM!$B$3:$Y$62,11,FALSE)</f>
        <v>1</v>
      </c>
      <c r="R905" s="271" t="s">
        <v>112</v>
      </c>
      <c r="S905" s="290">
        <f t="shared" si="537"/>
        <v>1</v>
      </c>
      <c r="T905" s="275">
        <v>1</v>
      </c>
      <c r="U905" s="290">
        <f t="shared" si="479"/>
        <v>2</v>
      </c>
      <c r="V905" s="276" t="s">
        <v>48</v>
      </c>
    </row>
    <row r="906" spans="1:22" s="172" customFormat="1" ht="20.25" customHeight="1">
      <c r="A906" s="263">
        <f t="shared" si="473"/>
        <v>905</v>
      </c>
      <c r="B906" s="263" t="s">
        <v>1263</v>
      </c>
      <c r="C906" s="264">
        <f t="shared" si="535"/>
        <v>905</v>
      </c>
      <c r="D906" s="265" t="s">
        <v>1493</v>
      </c>
      <c r="E906" s="279">
        <f>C901</f>
        <v>900</v>
      </c>
      <c r="F906" s="267"/>
      <c r="G906" s="267"/>
      <c r="H906" s="268"/>
      <c r="I906" s="268"/>
      <c r="J906" s="269"/>
      <c r="K906" s="269"/>
      <c r="L906" s="269"/>
      <c r="M906" s="319"/>
      <c r="N906" s="271"/>
      <c r="O906" s="280"/>
      <c r="P906" s="271"/>
      <c r="Q906" s="281"/>
      <c r="R906" s="271"/>
      <c r="S906" s="312"/>
      <c r="T906" s="282"/>
      <c r="U906" s="312"/>
      <c r="V906" s="276"/>
    </row>
    <row r="907" spans="1:22" s="172" customFormat="1" ht="20.25" customHeight="1">
      <c r="A907" s="263" t="str">
        <f t="shared" si="473"/>
        <v/>
      </c>
      <c r="B907" s="263"/>
      <c r="C907" s="264">
        <f t="shared" si="535"/>
        <v>906</v>
      </c>
      <c r="D907" s="277" t="s">
        <v>1494</v>
      </c>
      <c r="E907" s="293"/>
      <c r="F907" s="267" t="s">
        <v>115</v>
      </c>
      <c r="G907" s="267"/>
      <c r="H907" s="316">
        <v>12</v>
      </c>
      <c r="I907" s="316"/>
      <c r="J907" s="308">
        <f>J902</f>
        <v>2500</v>
      </c>
      <c r="K907" s="308" t="str">
        <f>K902</f>
        <v>mm</v>
      </c>
      <c r="L907" s="367" t="str">
        <f t="shared" ref="L907" si="542">J907&amp;" "&amp;K907</f>
        <v>2500 mm</v>
      </c>
      <c r="M907" s="319">
        <v>1</v>
      </c>
      <c r="N907" s="271" t="s">
        <v>81</v>
      </c>
      <c r="O907" s="297">
        <f t="shared" ref="O907:O910" si="543">LEFT(L907,SEARCH(" ",L907,1)-1)*M907*0.001</f>
        <v>2.5</v>
      </c>
      <c r="P907" s="271" t="s">
        <v>139</v>
      </c>
      <c r="Q907" s="324">
        <f>VLOOKUP(H907,BM!$B$3:$Y$62,12,FALSE)</f>
        <v>2.5</v>
      </c>
      <c r="R907" s="271" t="s">
        <v>112</v>
      </c>
      <c r="S907" s="290">
        <f t="shared" ref="S907:S910" si="544">O907*Q907</f>
        <v>6.25</v>
      </c>
      <c r="T907" s="275">
        <v>1</v>
      </c>
      <c r="U907" s="290">
        <f t="shared" si="479"/>
        <v>7.25</v>
      </c>
      <c r="V907" s="276" t="s">
        <v>48</v>
      </c>
    </row>
    <row r="908" spans="1:22" s="172" customFormat="1" ht="20.25" customHeight="1">
      <c r="A908" s="263" t="str">
        <f t="shared" si="473"/>
        <v/>
      </c>
      <c r="B908" s="263"/>
      <c r="C908" s="264">
        <f t="shared" si="535"/>
        <v>907</v>
      </c>
      <c r="D908" s="277" t="s">
        <v>1494</v>
      </c>
      <c r="E908" s="293">
        <f t="shared" ref="E908:E910" si="545">C907</f>
        <v>906</v>
      </c>
      <c r="F908" s="267" t="s">
        <v>115</v>
      </c>
      <c r="G908" s="267"/>
      <c r="H908" s="308">
        <f>H907</f>
        <v>12</v>
      </c>
      <c r="I908" s="308"/>
      <c r="J908" s="308">
        <f>J903</f>
        <v>2500</v>
      </c>
      <c r="K908" s="308" t="str">
        <f>K903</f>
        <v>mm</v>
      </c>
      <c r="L908" s="367" t="str">
        <f t="shared" ref="L908" si="546">J908&amp;" "&amp;K908</f>
        <v>2500 mm</v>
      </c>
      <c r="M908" s="319">
        <v>1</v>
      </c>
      <c r="N908" s="271" t="s">
        <v>81</v>
      </c>
      <c r="O908" s="297">
        <f t="shared" si="543"/>
        <v>2.5</v>
      </c>
      <c r="P908" s="271" t="s">
        <v>139</v>
      </c>
      <c r="Q908" s="324">
        <f>VLOOKUP(H908,BM!$B$3:$Y$62,12,FALSE)</f>
        <v>2.5</v>
      </c>
      <c r="R908" s="271" t="s">
        <v>112</v>
      </c>
      <c r="S908" s="290">
        <f t="shared" si="544"/>
        <v>6.25</v>
      </c>
      <c r="T908" s="275">
        <v>1</v>
      </c>
      <c r="U908" s="290">
        <f t="shared" si="479"/>
        <v>7.25</v>
      </c>
      <c r="V908" s="276" t="s">
        <v>48</v>
      </c>
    </row>
    <row r="909" spans="1:22" s="172" customFormat="1" ht="20.25" customHeight="1">
      <c r="A909" s="263" t="str">
        <f t="shared" si="473"/>
        <v/>
      </c>
      <c r="B909" s="263"/>
      <c r="C909" s="264">
        <f t="shared" si="535"/>
        <v>908</v>
      </c>
      <c r="D909" s="277" t="s">
        <v>1494</v>
      </c>
      <c r="E909" s="293">
        <f t="shared" si="545"/>
        <v>907</v>
      </c>
      <c r="F909" s="267" t="s">
        <v>115</v>
      </c>
      <c r="G909" s="267"/>
      <c r="H909" s="308">
        <f>H908</f>
        <v>12</v>
      </c>
      <c r="I909" s="308"/>
      <c r="J909" s="308">
        <f>J904</f>
        <v>1250</v>
      </c>
      <c r="K909" s="308" t="str">
        <f>K904</f>
        <v>mm</v>
      </c>
      <c r="L909" s="367" t="str">
        <f t="shared" ref="L909" si="547">J909&amp;" "&amp;K909</f>
        <v>1250 mm</v>
      </c>
      <c r="M909" s="319">
        <v>1</v>
      </c>
      <c r="N909" s="271" t="s">
        <v>81</v>
      </c>
      <c r="O909" s="297">
        <f t="shared" si="543"/>
        <v>1.25</v>
      </c>
      <c r="P909" s="271" t="s">
        <v>139</v>
      </c>
      <c r="Q909" s="324">
        <f>VLOOKUP(H909,BM!$B$3:$Y$62,12,FALSE)</f>
        <v>2.5</v>
      </c>
      <c r="R909" s="271" t="s">
        <v>112</v>
      </c>
      <c r="S909" s="290">
        <f t="shared" si="544"/>
        <v>3.125</v>
      </c>
      <c r="T909" s="275">
        <v>1</v>
      </c>
      <c r="U909" s="290">
        <f t="shared" si="479"/>
        <v>4.13</v>
      </c>
      <c r="V909" s="276" t="s">
        <v>48</v>
      </c>
    </row>
    <row r="910" spans="1:22" s="172" customFormat="1" ht="20.25" customHeight="1">
      <c r="A910" s="263" t="str">
        <f t="shared" si="473"/>
        <v/>
      </c>
      <c r="B910" s="263"/>
      <c r="C910" s="264">
        <f t="shared" si="535"/>
        <v>909</v>
      </c>
      <c r="D910" s="277" t="s">
        <v>1494</v>
      </c>
      <c r="E910" s="293">
        <f t="shared" si="545"/>
        <v>908</v>
      </c>
      <c r="F910" s="267" t="s">
        <v>115</v>
      </c>
      <c r="G910" s="267"/>
      <c r="H910" s="308">
        <f>H909</f>
        <v>12</v>
      </c>
      <c r="I910" s="308"/>
      <c r="J910" s="308">
        <f>J905</f>
        <v>0</v>
      </c>
      <c r="K910" s="308" t="str">
        <f>K905</f>
        <v>mm</v>
      </c>
      <c r="L910" s="367" t="str">
        <f t="shared" ref="L910" si="548">J910&amp;" "&amp;K910</f>
        <v>0 mm</v>
      </c>
      <c r="M910" s="319">
        <v>1</v>
      </c>
      <c r="N910" s="271" t="s">
        <v>81</v>
      </c>
      <c r="O910" s="297">
        <f t="shared" si="543"/>
        <v>0</v>
      </c>
      <c r="P910" s="271" t="s">
        <v>139</v>
      </c>
      <c r="Q910" s="324">
        <f>VLOOKUP(H910,BM!$B$3:$Y$62,12,FALSE)</f>
        <v>2.5</v>
      </c>
      <c r="R910" s="271" t="s">
        <v>112</v>
      </c>
      <c r="S910" s="290">
        <f t="shared" si="544"/>
        <v>0</v>
      </c>
      <c r="T910" s="275">
        <v>1</v>
      </c>
      <c r="U910" s="290">
        <f t="shared" si="479"/>
        <v>1</v>
      </c>
      <c r="V910" s="276" t="s">
        <v>48</v>
      </c>
    </row>
    <row r="911" spans="1:22" s="172" customFormat="1" ht="20.25" customHeight="1">
      <c r="A911" s="263">
        <f t="shared" si="473"/>
        <v>910</v>
      </c>
      <c r="B911" s="263" t="s">
        <v>1263</v>
      </c>
      <c r="C911" s="264">
        <f t="shared" si="535"/>
        <v>910</v>
      </c>
      <c r="D911" s="265" t="s">
        <v>1495</v>
      </c>
      <c r="E911" s="279">
        <f>C906</f>
        <v>905</v>
      </c>
      <c r="F911" s="267"/>
      <c r="G911" s="267"/>
      <c r="H911" s="268"/>
      <c r="I911" s="268"/>
      <c r="J911" s="269"/>
      <c r="K911" s="269"/>
      <c r="L911" s="269"/>
      <c r="M911" s="319"/>
      <c r="N911" s="271"/>
      <c r="O911" s="280"/>
      <c r="P911" s="271"/>
      <c r="Q911" s="281"/>
      <c r="R911" s="271"/>
      <c r="S911" s="312"/>
      <c r="T911" s="282"/>
      <c r="U911" s="312"/>
      <c r="V911" s="276"/>
    </row>
    <row r="912" spans="1:22" s="172" customFormat="1" ht="20.25" customHeight="1">
      <c r="A912" s="263" t="str">
        <f t="shared" si="473"/>
        <v/>
      </c>
      <c r="B912" s="263"/>
      <c r="C912" s="264">
        <f t="shared" si="535"/>
        <v>911</v>
      </c>
      <c r="D912" s="277" t="s">
        <v>1496</v>
      </c>
      <c r="E912" s="293"/>
      <c r="F912" s="267" t="s">
        <v>61</v>
      </c>
      <c r="G912" s="267"/>
      <c r="H912" s="316">
        <v>18</v>
      </c>
      <c r="I912" s="316"/>
      <c r="J912" s="308">
        <f>J907</f>
        <v>2500</v>
      </c>
      <c r="K912" s="308" t="str">
        <f>K907</f>
        <v>mm</v>
      </c>
      <c r="L912" s="367" t="str">
        <f t="shared" ref="L912" si="549">J912&amp;" "&amp;K912</f>
        <v>2500 mm</v>
      </c>
      <c r="M912" s="319">
        <v>1</v>
      </c>
      <c r="N912" s="271" t="s">
        <v>81</v>
      </c>
      <c r="O912" s="297">
        <f t="shared" ref="O912:O915" si="550">LEFT(L912,SEARCH(" ",L912,1)-1)*M912*0.001</f>
        <v>2.5</v>
      </c>
      <c r="P912" s="271" t="s">
        <v>139</v>
      </c>
      <c r="Q912" s="324">
        <f>VLOOKUP(H912,BM!$B$3:$Y$62,18,FALSE)</f>
        <v>1</v>
      </c>
      <c r="R912" s="271" t="s">
        <v>112</v>
      </c>
      <c r="S912" s="290">
        <f t="shared" ref="S912:S915" si="551">O912*Q912</f>
        <v>2.5</v>
      </c>
      <c r="T912" s="275">
        <v>1</v>
      </c>
      <c r="U912" s="290">
        <f t="shared" si="479"/>
        <v>3.5</v>
      </c>
      <c r="V912" s="276" t="s">
        <v>48</v>
      </c>
    </row>
    <row r="913" spans="1:22" s="172" customFormat="1" ht="20.25" customHeight="1">
      <c r="A913" s="263" t="str">
        <f t="shared" si="473"/>
        <v/>
      </c>
      <c r="B913" s="263"/>
      <c r="C913" s="264">
        <f t="shared" si="535"/>
        <v>912</v>
      </c>
      <c r="D913" s="277" t="s">
        <v>1496</v>
      </c>
      <c r="E913" s="293">
        <f t="shared" ref="E913:E915" si="552">C912</f>
        <v>911</v>
      </c>
      <c r="F913" s="267" t="s">
        <v>61</v>
      </c>
      <c r="G913" s="267"/>
      <c r="H913" s="316">
        <v>18</v>
      </c>
      <c r="I913" s="316"/>
      <c r="J913" s="308">
        <f>J908</f>
        <v>2500</v>
      </c>
      <c r="K913" s="308" t="str">
        <f>K908</f>
        <v>mm</v>
      </c>
      <c r="L913" s="367" t="str">
        <f t="shared" ref="L913" si="553">J913&amp;" "&amp;K913</f>
        <v>2500 mm</v>
      </c>
      <c r="M913" s="319">
        <v>1</v>
      </c>
      <c r="N913" s="271" t="s">
        <v>81</v>
      </c>
      <c r="O913" s="297">
        <f t="shared" si="550"/>
        <v>2.5</v>
      </c>
      <c r="P913" s="271" t="s">
        <v>139</v>
      </c>
      <c r="Q913" s="324">
        <f>VLOOKUP(H913,BM!$B$3:$Y$62,18,FALSE)</f>
        <v>1</v>
      </c>
      <c r="R913" s="271" t="s">
        <v>112</v>
      </c>
      <c r="S913" s="290">
        <f t="shared" si="551"/>
        <v>2.5</v>
      </c>
      <c r="T913" s="275">
        <v>1</v>
      </c>
      <c r="U913" s="290">
        <f t="shared" si="479"/>
        <v>3.5</v>
      </c>
      <c r="V913" s="276" t="s">
        <v>48</v>
      </c>
    </row>
    <row r="914" spans="1:22" s="172" customFormat="1" ht="20.25" customHeight="1">
      <c r="A914" s="263" t="str">
        <f t="shared" si="473"/>
        <v/>
      </c>
      <c r="B914" s="263"/>
      <c r="C914" s="264">
        <f t="shared" si="535"/>
        <v>913</v>
      </c>
      <c r="D914" s="277" t="s">
        <v>1496</v>
      </c>
      <c r="E914" s="293">
        <f t="shared" si="552"/>
        <v>912</v>
      </c>
      <c r="F914" s="267" t="s">
        <v>61</v>
      </c>
      <c r="G914" s="267"/>
      <c r="H914" s="316">
        <v>18</v>
      </c>
      <c r="I914" s="316"/>
      <c r="J914" s="308">
        <f>J909</f>
        <v>1250</v>
      </c>
      <c r="K914" s="308" t="str">
        <f>K909</f>
        <v>mm</v>
      </c>
      <c r="L914" s="367" t="str">
        <f t="shared" ref="L914" si="554">J914&amp;" "&amp;K914</f>
        <v>1250 mm</v>
      </c>
      <c r="M914" s="319">
        <v>1</v>
      </c>
      <c r="N914" s="271" t="s">
        <v>81</v>
      </c>
      <c r="O914" s="297">
        <f t="shared" si="550"/>
        <v>1.25</v>
      </c>
      <c r="P914" s="271" t="s">
        <v>139</v>
      </c>
      <c r="Q914" s="324">
        <f>VLOOKUP(H914,BM!$B$3:$Y$62,18,FALSE)</f>
        <v>1</v>
      </c>
      <c r="R914" s="271" t="s">
        <v>112</v>
      </c>
      <c r="S914" s="290">
        <f t="shared" si="551"/>
        <v>1.25</v>
      </c>
      <c r="T914" s="275">
        <v>1</v>
      </c>
      <c r="U914" s="290">
        <f t="shared" si="479"/>
        <v>2.25</v>
      </c>
      <c r="V914" s="276" t="s">
        <v>48</v>
      </c>
    </row>
    <row r="915" spans="1:22" s="172" customFormat="1" ht="20.25" customHeight="1">
      <c r="A915" s="263" t="str">
        <f t="shared" si="473"/>
        <v/>
      </c>
      <c r="B915" s="263"/>
      <c r="C915" s="264">
        <f t="shared" si="535"/>
        <v>914</v>
      </c>
      <c r="D915" s="277" t="s">
        <v>1496</v>
      </c>
      <c r="E915" s="293">
        <f t="shared" si="552"/>
        <v>913</v>
      </c>
      <c r="F915" s="267" t="s">
        <v>61</v>
      </c>
      <c r="G915" s="267"/>
      <c r="H915" s="316">
        <v>18</v>
      </c>
      <c r="I915" s="316"/>
      <c r="J915" s="308">
        <f>J910</f>
        <v>0</v>
      </c>
      <c r="K915" s="308" t="str">
        <f>K910</f>
        <v>mm</v>
      </c>
      <c r="L915" s="367" t="str">
        <f t="shared" ref="L915" si="555">J915&amp;" "&amp;K915</f>
        <v>0 mm</v>
      </c>
      <c r="M915" s="319">
        <v>1</v>
      </c>
      <c r="N915" s="271" t="s">
        <v>81</v>
      </c>
      <c r="O915" s="297">
        <f t="shared" si="550"/>
        <v>0</v>
      </c>
      <c r="P915" s="271" t="s">
        <v>139</v>
      </c>
      <c r="Q915" s="324">
        <f>VLOOKUP(H915,BM!$B$3:$Y$62,18,FALSE)</f>
        <v>1</v>
      </c>
      <c r="R915" s="271" t="s">
        <v>112</v>
      </c>
      <c r="S915" s="290">
        <f t="shared" si="551"/>
        <v>0</v>
      </c>
      <c r="T915" s="275">
        <v>1</v>
      </c>
      <c r="U915" s="290">
        <f t="shared" si="479"/>
        <v>1</v>
      </c>
      <c r="V915" s="276" t="s">
        <v>48</v>
      </c>
    </row>
    <row r="916" spans="1:22" s="172" customFormat="1" ht="20.25" customHeight="1">
      <c r="A916" s="263">
        <f t="shared" si="473"/>
        <v>915</v>
      </c>
      <c r="B916" s="263" t="s">
        <v>1263</v>
      </c>
      <c r="C916" s="264">
        <f t="shared" si="535"/>
        <v>915</v>
      </c>
      <c r="D916" s="265" t="s">
        <v>1497</v>
      </c>
      <c r="E916" s="279">
        <f>C911</f>
        <v>910</v>
      </c>
      <c r="F916" s="267"/>
      <c r="G916" s="267"/>
      <c r="H916" s="268"/>
      <c r="I916" s="268"/>
      <c r="J916" s="269"/>
      <c r="K916" s="269"/>
      <c r="L916" s="269"/>
      <c r="M916" s="319"/>
      <c r="N916" s="271"/>
      <c r="O916" s="280"/>
      <c r="P916" s="271"/>
      <c r="Q916" s="281"/>
      <c r="R916" s="271"/>
      <c r="S916" s="312"/>
      <c r="T916" s="282"/>
      <c r="U916" s="312"/>
      <c r="V916" s="276"/>
    </row>
    <row r="917" spans="1:22" s="172" customFormat="1" ht="20.25" customHeight="1">
      <c r="A917" s="263" t="str">
        <f t="shared" si="473"/>
        <v/>
      </c>
      <c r="B917" s="263"/>
      <c r="C917" s="264">
        <f t="shared" si="535"/>
        <v>916</v>
      </c>
      <c r="D917" s="277" t="s">
        <v>1498</v>
      </c>
      <c r="E917" s="293"/>
      <c r="F917" s="267" t="s">
        <v>115</v>
      </c>
      <c r="G917" s="267"/>
      <c r="H917" s="316">
        <v>6</v>
      </c>
      <c r="I917" s="316"/>
      <c r="J917" s="308">
        <f>J912</f>
        <v>2500</v>
      </c>
      <c r="K917" s="308" t="str">
        <f>K912</f>
        <v>mm</v>
      </c>
      <c r="L917" s="367" t="str">
        <f t="shared" ref="L917" si="556">J917&amp;" "&amp;K917</f>
        <v>2500 mm</v>
      </c>
      <c r="M917" s="319">
        <v>1</v>
      </c>
      <c r="N917" s="271" t="s">
        <v>81</v>
      </c>
      <c r="O917" s="297">
        <f t="shared" ref="O917:O920" si="557">LEFT(L917,SEARCH(" ",L917,1)-1)*M917*0.001</f>
        <v>2.5</v>
      </c>
      <c r="P917" s="271" t="s">
        <v>139</v>
      </c>
      <c r="Q917" s="324">
        <f>VLOOKUP(H917,BM!$B$3:$Y$62,12,FALSE)</f>
        <v>0.9</v>
      </c>
      <c r="R917" s="271" t="s">
        <v>112</v>
      </c>
      <c r="S917" s="290">
        <f t="shared" ref="S917:S920" si="558">O917*Q917</f>
        <v>2.25</v>
      </c>
      <c r="T917" s="275">
        <v>1</v>
      </c>
      <c r="U917" s="290">
        <f t="shared" si="479"/>
        <v>3.25</v>
      </c>
      <c r="V917" s="276" t="s">
        <v>48</v>
      </c>
    </row>
    <row r="918" spans="1:22" s="172" customFormat="1" ht="20.25" customHeight="1">
      <c r="A918" s="263" t="str">
        <f t="shared" si="473"/>
        <v/>
      </c>
      <c r="B918" s="263"/>
      <c r="C918" s="264">
        <f t="shared" si="535"/>
        <v>917</v>
      </c>
      <c r="D918" s="277" t="s">
        <v>1498</v>
      </c>
      <c r="E918" s="293">
        <f t="shared" ref="E918:E920" si="559">C917</f>
        <v>916</v>
      </c>
      <c r="F918" s="267" t="s">
        <v>115</v>
      </c>
      <c r="G918" s="267"/>
      <c r="H918" s="308">
        <f>H917</f>
        <v>6</v>
      </c>
      <c r="I918" s="308"/>
      <c r="J918" s="308">
        <f>J913</f>
        <v>2500</v>
      </c>
      <c r="K918" s="308" t="str">
        <f>K913</f>
        <v>mm</v>
      </c>
      <c r="L918" s="367" t="str">
        <f t="shared" ref="L918" si="560">J918&amp;" "&amp;K918</f>
        <v>2500 mm</v>
      </c>
      <c r="M918" s="319">
        <v>1</v>
      </c>
      <c r="N918" s="271" t="s">
        <v>81</v>
      </c>
      <c r="O918" s="297">
        <f t="shared" si="557"/>
        <v>2.5</v>
      </c>
      <c r="P918" s="271" t="s">
        <v>139</v>
      </c>
      <c r="Q918" s="324">
        <f>VLOOKUP(H918,BM!$B$3:$Y$62,12,FALSE)</f>
        <v>0.9</v>
      </c>
      <c r="R918" s="271" t="s">
        <v>112</v>
      </c>
      <c r="S918" s="290">
        <f t="shared" si="558"/>
        <v>2.25</v>
      </c>
      <c r="T918" s="275">
        <v>1</v>
      </c>
      <c r="U918" s="290">
        <f t="shared" si="479"/>
        <v>3.25</v>
      </c>
      <c r="V918" s="276" t="s">
        <v>48</v>
      </c>
    </row>
    <row r="919" spans="1:22" s="172" customFormat="1" ht="20.25" customHeight="1">
      <c r="A919" s="263" t="str">
        <f t="shared" si="473"/>
        <v/>
      </c>
      <c r="B919" s="263"/>
      <c r="C919" s="264">
        <f t="shared" si="535"/>
        <v>918</v>
      </c>
      <c r="D919" s="277" t="s">
        <v>1498</v>
      </c>
      <c r="E919" s="293">
        <f t="shared" si="559"/>
        <v>917</v>
      </c>
      <c r="F919" s="267" t="s">
        <v>115</v>
      </c>
      <c r="G919" s="267"/>
      <c r="H919" s="308">
        <f>H918</f>
        <v>6</v>
      </c>
      <c r="I919" s="308"/>
      <c r="J919" s="308">
        <f>J914</f>
        <v>1250</v>
      </c>
      <c r="K919" s="308" t="str">
        <f>K914</f>
        <v>mm</v>
      </c>
      <c r="L919" s="367" t="str">
        <f t="shared" ref="L919" si="561">J919&amp;" "&amp;K919</f>
        <v>1250 mm</v>
      </c>
      <c r="M919" s="319">
        <v>1</v>
      </c>
      <c r="N919" s="271" t="s">
        <v>81</v>
      </c>
      <c r="O919" s="297">
        <f t="shared" si="557"/>
        <v>1.25</v>
      </c>
      <c r="P919" s="271" t="s">
        <v>139</v>
      </c>
      <c r="Q919" s="324">
        <f>VLOOKUP(H919,BM!$B$3:$Y$62,12,FALSE)</f>
        <v>0.9</v>
      </c>
      <c r="R919" s="271" t="s">
        <v>112</v>
      </c>
      <c r="S919" s="290">
        <f t="shared" si="558"/>
        <v>1.125</v>
      </c>
      <c r="T919" s="275">
        <v>1</v>
      </c>
      <c r="U919" s="290">
        <f t="shared" si="479"/>
        <v>2.13</v>
      </c>
      <c r="V919" s="276" t="s">
        <v>48</v>
      </c>
    </row>
    <row r="920" spans="1:22" s="172" customFormat="1" ht="20.25" customHeight="1">
      <c r="A920" s="263" t="str">
        <f t="shared" si="473"/>
        <v/>
      </c>
      <c r="B920" s="263"/>
      <c r="C920" s="264">
        <f t="shared" si="535"/>
        <v>919</v>
      </c>
      <c r="D920" s="277" t="s">
        <v>1498</v>
      </c>
      <c r="E920" s="293">
        <f t="shared" si="559"/>
        <v>918</v>
      </c>
      <c r="F920" s="267" t="s">
        <v>115</v>
      </c>
      <c r="G920" s="267"/>
      <c r="H920" s="308">
        <f>H919</f>
        <v>6</v>
      </c>
      <c r="I920" s="308"/>
      <c r="J920" s="308">
        <f>J915</f>
        <v>0</v>
      </c>
      <c r="K920" s="308" t="str">
        <f>K915</f>
        <v>mm</v>
      </c>
      <c r="L920" s="367" t="str">
        <f t="shared" ref="L920" si="562">J920&amp;" "&amp;K920</f>
        <v>0 mm</v>
      </c>
      <c r="M920" s="319">
        <v>1</v>
      </c>
      <c r="N920" s="271" t="s">
        <v>81</v>
      </c>
      <c r="O920" s="297">
        <f t="shared" si="557"/>
        <v>0</v>
      </c>
      <c r="P920" s="271" t="s">
        <v>139</v>
      </c>
      <c r="Q920" s="324">
        <f>VLOOKUP(H920,BM!$B$3:$Y$62,12,FALSE)</f>
        <v>0.9</v>
      </c>
      <c r="R920" s="271" t="s">
        <v>112</v>
      </c>
      <c r="S920" s="290">
        <f t="shared" si="558"/>
        <v>0</v>
      </c>
      <c r="T920" s="275">
        <v>1</v>
      </c>
      <c r="U920" s="290">
        <f t="shared" si="479"/>
        <v>1</v>
      </c>
      <c r="V920" s="276" t="s">
        <v>48</v>
      </c>
    </row>
    <row r="921" spans="1:22" s="172" customFormat="1" ht="20.25" customHeight="1">
      <c r="A921" s="263">
        <f t="shared" si="473"/>
        <v>920</v>
      </c>
      <c r="B921" s="263" t="s">
        <v>1263</v>
      </c>
      <c r="C921" s="264">
        <f t="shared" si="535"/>
        <v>920</v>
      </c>
      <c r="D921" s="265" t="s">
        <v>1499</v>
      </c>
      <c r="E921" s="279">
        <f>C916</f>
        <v>915</v>
      </c>
      <c r="F921" s="267"/>
      <c r="G921" s="267"/>
      <c r="H921" s="268"/>
      <c r="I921" s="268"/>
      <c r="J921" s="269"/>
      <c r="K921" s="269"/>
      <c r="L921" s="269"/>
      <c r="M921" s="319"/>
      <c r="N921" s="271"/>
      <c r="O921" s="280"/>
      <c r="P921" s="271"/>
      <c r="Q921" s="281"/>
      <c r="R921" s="271"/>
      <c r="S921" s="312"/>
      <c r="T921" s="282"/>
      <c r="U921" s="312"/>
      <c r="V921" s="276"/>
    </row>
    <row r="922" spans="1:22" s="172" customFormat="1" ht="20.25" customHeight="1">
      <c r="A922" s="263" t="str">
        <f t="shared" si="473"/>
        <v/>
      </c>
      <c r="B922" s="263"/>
      <c r="C922" s="264">
        <f t="shared" si="535"/>
        <v>921</v>
      </c>
      <c r="D922" s="277" t="s">
        <v>1500</v>
      </c>
      <c r="E922" s="293"/>
      <c r="F922" s="267" t="s">
        <v>61</v>
      </c>
      <c r="G922" s="267"/>
      <c r="H922" s="308">
        <f>H912</f>
        <v>18</v>
      </c>
      <c r="I922" s="308"/>
      <c r="J922" s="308">
        <f>J917</f>
        <v>2500</v>
      </c>
      <c r="K922" s="308" t="str">
        <f>K917</f>
        <v>mm</v>
      </c>
      <c r="L922" s="367" t="str">
        <f t="shared" ref="L922:L925" si="563">J922&amp;" "&amp;K922</f>
        <v>2500 mm</v>
      </c>
      <c r="M922" s="319">
        <v>1</v>
      </c>
      <c r="N922" s="271" t="s">
        <v>81</v>
      </c>
      <c r="O922" s="297">
        <f t="shared" ref="O922:O925" si="564">LEFT(L922,SEARCH(" ",L922,1)-1)*M922*0.001</f>
        <v>2.5</v>
      </c>
      <c r="P922" s="271" t="s">
        <v>139</v>
      </c>
      <c r="Q922" s="324">
        <f>VLOOKUP(H922,BM!$B$3:$Y$62,20,FALSE)</f>
        <v>0.5</v>
      </c>
      <c r="R922" s="271" t="s">
        <v>112</v>
      </c>
      <c r="S922" s="290">
        <f t="shared" ref="S922:S925" si="565">O922*Q922</f>
        <v>1.25</v>
      </c>
      <c r="T922" s="275">
        <v>1</v>
      </c>
      <c r="U922" s="290">
        <f t="shared" si="479"/>
        <v>2.25</v>
      </c>
      <c r="V922" s="276" t="s">
        <v>48</v>
      </c>
    </row>
    <row r="923" spans="1:22" s="172" customFormat="1" ht="20.25" customHeight="1">
      <c r="A923" s="263" t="str">
        <f t="shared" si="473"/>
        <v/>
      </c>
      <c r="B923" s="263"/>
      <c r="C923" s="264">
        <f t="shared" si="535"/>
        <v>922</v>
      </c>
      <c r="D923" s="277" t="s">
        <v>1500</v>
      </c>
      <c r="E923" s="293">
        <f t="shared" ref="E923:E925" si="566">C922</f>
        <v>921</v>
      </c>
      <c r="F923" s="267" t="s">
        <v>61</v>
      </c>
      <c r="G923" s="267"/>
      <c r="H923" s="308">
        <f t="shared" ref="H923:H925" si="567">H922</f>
        <v>18</v>
      </c>
      <c r="I923" s="308"/>
      <c r="J923" s="308">
        <f>J918</f>
        <v>2500</v>
      </c>
      <c r="K923" s="308" t="str">
        <f>K918</f>
        <v>mm</v>
      </c>
      <c r="L923" s="367" t="str">
        <f t="shared" si="563"/>
        <v>2500 mm</v>
      </c>
      <c r="M923" s="319">
        <v>1</v>
      </c>
      <c r="N923" s="271" t="s">
        <v>81</v>
      </c>
      <c r="O923" s="297">
        <f t="shared" si="564"/>
        <v>2.5</v>
      </c>
      <c r="P923" s="271" t="s">
        <v>139</v>
      </c>
      <c r="Q923" s="324">
        <f>VLOOKUP(H923,BM!$B$3:$Y$62,20,FALSE)</f>
        <v>0.5</v>
      </c>
      <c r="R923" s="271" t="s">
        <v>112</v>
      </c>
      <c r="S923" s="290">
        <f t="shared" si="565"/>
        <v>1.25</v>
      </c>
      <c r="T923" s="275">
        <v>1</v>
      </c>
      <c r="U923" s="290">
        <f t="shared" si="479"/>
        <v>2.25</v>
      </c>
      <c r="V923" s="276" t="s">
        <v>48</v>
      </c>
    </row>
    <row r="924" spans="1:22" s="172" customFormat="1" ht="20.25" customHeight="1">
      <c r="A924" s="263" t="str">
        <f t="shared" ref="A924:A987" si="568">IF(B924="Yes",C924,"")</f>
        <v/>
      </c>
      <c r="B924" s="263"/>
      <c r="C924" s="264">
        <f t="shared" si="535"/>
        <v>923</v>
      </c>
      <c r="D924" s="277" t="s">
        <v>1500</v>
      </c>
      <c r="E924" s="293">
        <f t="shared" si="566"/>
        <v>922</v>
      </c>
      <c r="F924" s="267" t="s">
        <v>61</v>
      </c>
      <c r="G924" s="267"/>
      <c r="H924" s="308">
        <f t="shared" si="567"/>
        <v>18</v>
      </c>
      <c r="I924" s="308"/>
      <c r="J924" s="308">
        <f>J919</f>
        <v>1250</v>
      </c>
      <c r="K924" s="308" t="str">
        <f>K919</f>
        <v>mm</v>
      </c>
      <c r="L924" s="367" t="str">
        <f t="shared" si="563"/>
        <v>1250 mm</v>
      </c>
      <c r="M924" s="319">
        <v>1</v>
      </c>
      <c r="N924" s="271" t="s">
        <v>81</v>
      </c>
      <c r="O924" s="297">
        <f t="shared" si="564"/>
        <v>1.25</v>
      </c>
      <c r="P924" s="271" t="s">
        <v>139</v>
      </c>
      <c r="Q924" s="324">
        <f>VLOOKUP(H924,BM!$B$3:$Y$62,20,FALSE)</f>
        <v>0.5</v>
      </c>
      <c r="R924" s="271" t="s">
        <v>112</v>
      </c>
      <c r="S924" s="290">
        <f t="shared" si="565"/>
        <v>0.625</v>
      </c>
      <c r="T924" s="275">
        <v>1</v>
      </c>
      <c r="U924" s="290">
        <f t="shared" si="479"/>
        <v>1.63</v>
      </c>
      <c r="V924" s="276" t="s">
        <v>48</v>
      </c>
    </row>
    <row r="925" spans="1:22" s="172" customFormat="1" ht="20.25" customHeight="1">
      <c r="A925" s="263" t="str">
        <f t="shared" si="568"/>
        <v/>
      </c>
      <c r="B925" s="263"/>
      <c r="C925" s="264">
        <f t="shared" si="535"/>
        <v>924</v>
      </c>
      <c r="D925" s="277" t="s">
        <v>1500</v>
      </c>
      <c r="E925" s="293">
        <f t="shared" si="566"/>
        <v>923</v>
      </c>
      <c r="F925" s="267" t="s">
        <v>61</v>
      </c>
      <c r="G925" s="267"/>
      <c r="H925" s="308">
        <f t="shared" si="567"/>
        <v>18</v>
      </c>
      <c r="I925" s="308"/>
      <c r="J925" s="308">
        <f>J920</f>
        <v>0</v>
      </c>
      <c r="K925" s="308" t="str">
        <f>K920</f>
        <v>mm</v>
      </c>
      <c r="L925" s="367" t="str">
        <f t="shared" si="563"/>
        <v>0 mm</v>
      </c>
      <c r="M925" s="319">
        <v>1</v>
      </c>
      <c r="N925" s="271" t="s">
        <v>81</v>
      </c>
      <c r="O925" s="297">
        <f t="shared" si="564"/>
        <v>0</v>
      </c>
      <c r="P925" s="271" t="s">
        <v>139</v>
      </c>
      <c r="Q925" s="324">
        <f>VLOOKUP(H925,BM!$B$3:$Y$62,20,FALSE)</f>
        <v>0.5</v>
      </c>
      <c r="R925" s="271" t="s">
        <v>112</v>
      </c>
      <c r="S925" s="290">
        <f t="shared" si="565"/>
        <v>0</v>
      </c>
      <c r="T925" s="275">
        <v>1</v>
      </c>
      <c r="U925" s="290">
        <f t="shared" si="479"/>
        <v>1</v>
      </c>
      <c r="V925" s="276" t="s">
        <v>48</v>
      </c>
    </row>
    <row r="926" spans="1:22" s="172" customFormat="1" ht="20.25" customHeight="1">
      <c r="A926" s="263">
        <f t="shared" si="568"/>
        <v>925</v>
      </c>
      <c r="B926" s="263" t="s">
        <v>1263</v>
      </c>
      <c r="C926" s="264">
        <f t="shared" si="535"/>
        <v>925</v>
      </c>
      <c r="D926" s="265" t="s">
        <v>1501</v>
      </c>
      <c r="E926" s="279">
        <f>C921</f>
        <v>920</v>
      </c>
      <c r="F926" s="267"/>
      <c r="G926" s="267"/>
      <c r="H926" s="268"/>
      <c r="I926" s="268"/>
      <c r="J926" s="269"/>
      <c r="K926" s="269"/>
      <c r="L926" s="269"/>
      <c r="M926" s="319"/>
      <c r="N926" s="271"/>
      <c r="O926" s="280"/>
      <c r="P926" s="271"/>
      <c r="Q926" s="281"/>
      <c r="R926" s="271"/>
      <c r="S926" s="312"/>
      <c r="T926" s="282"/>
      <c r="U926" s="312"/>
      <c r="V926" s="276"/>
    </row>
    <row r="927" spans="1:22" s="172" customFormat="1" ht="20.25" customHeight="1">
      <c r="A927" s="263" t="str">
        <f t="shared" si="568"/>
        <v/>
      </c>
      <c r="B927" s="263"/>
      <c r="C927" s="264">
        <f t="shared" si="535"/>
        <v>926</v>
      </c>
      <c r="D927" s="277" t="s">
        <v>1502</v>
      </c>
      <c r="E927" s="293"/>
      <c r="F927" s="267" t="s">
        <v>312</v>
      </c>
      <c r="G927" s="267"/>
      <c r="H927" s="308">
        <f>H925</f>
        <v>18</v>
      </c>
      <c r="I927" s="308"/>
      <c r="J927" s="308">
        <f>J922</f>
        <v>2500</v>
      </c>
      <c r="K927" s="308" t="str">
        <f>K922</f>
        <v>mm</v>
      </c>
      <c r="L927" s="367" t="str">
        <f t="shared" ref="L927:L930" si="569">J927&amp;" "&amp;K927</f>
        <v>2500 mm</v>
      </c>
      <c r="M927" s="319">
        <v>1</v>
      </c>
      <c r="N927" s="271" t="s">
        <v>81</v>
      </c>
      <c r="O927" s="272">
        <v>1</v>
      </c>
      <c r="P927" s="296" t="s">
        <v>81</v>
      </c>
      <c r="Q927" s="273">
        <v>1</v>
      </c>
      <c r="R927" s="271" t="s">
        <v>41</v>
      </c>
      <c r="S927" s="290">
        <f t="shared" ref="S927:S935" si="570">O927*Q927</f>
        <v>1</v>
      </c>
      <c r="T927" s="275"/>
      <c r="U927" s="290">
        <f t="shared" ref="U927:U989" si="571">ROUND(S927+T927,2)</f>
        <v>1</v>
      </c>
      <c r="V927" s="276" t="s">
        <v>42</v>
      </c>
    </row>
    <row r="928" spans="1:22" s="172" customFormat="1" ht="20.25" customHeight="1">
      <c r="A928" s="263" t="str">
        <f t="shared" si="568"/>
        <v/>
      </c>
      <c r="B928" s="263"/>
      <c r="C928" s="264">
        <f t="shared" si="535"/>
        <v>927</v>
      </c>
      <c r="D928" s="277" t="s">
        <v>1502</v>
      </c>
      <c r="E928" s="293">
        <f t="shared" ref="E928:E930" si="572">C927</f>
        <v>926</v>
      </c>
      <c r="F928" s="267" t="s">
        <v>312</v>
      </c>
      <c r="G928" s="267"/>
      <c r="H928" s="308">
        <f t="shared" ref="H928:H930" si="573">H927</f>
        <v>18</v>
      </c>
      <c r="I928" s="308"/>
      <c r="J928" s="308">
        <f>J923</f>
        <v>2500</v>
      </c>
      <c r="K928" s="308" t="str">
        <f>K923</f>
        <v>mm</v>
      </c>
      <c r="L928" s="367" t="str">
        <f t="shared" si="569"/>
        <v>2500 mm</v>
      </c>
      <c r="M928" s="319">
        <v>1</v>
      </c>
      <c r="N928" s="271" t="s">
        <v>81</v>
      </c>
      <c r="O928" s="272">
        <v>1</v>
      </c>
      <c r="P928" s="296" t="s">
        <v>81</v>
      </c>
      <c r="Q928" s="324">
        <f t="shared" ref="Q928:R930" si="574">Q927</f>
        <v>1</v>
      </c>
      <c r="R928" s="331" t="str">
        <f t="shared" si="574"/>
        <v>Day</v>
      </c>
      <c r="S928" s="290">
        <f t="shared" si="570"/>
        <v>1</v>
      </c>
      <c r="T928" s="275"/>
      <c r="U928" s="290">
        <f t="shared" si="571"/>
        <v>1</v>
      </c>
      <c r="V928" s="276" t="s">
        <v>42</v>
      </c>
    </row>
    <row r="929" spans="1:22" s="172" customFormat="1" ht="20.25" customHeight="1">
      <c r="A929" s="263" t="str">
        <f t="shared" si="568"/>
        <v/>
      </c>
      <c r="B929" s="263"/>
      <c r="C929" s="264">
        <f t="shared" si="535"/>
        <v>928</v>
      </c>
      <c r="D929" s="277" t="s">
        <v>1502</v>
      </c>
      <c r="E929" s="293">
        <f t="shared" si="572"/>
        <v>927</v>
      </c>
      <c r="F929" s="267" t="s">
        <v>312</v>
      </c>
      <c r="G929" s="267"/>
      <c r="H929" s="308">
        <f t="shared" si="573"/>
        <v>18</v>
      </c>
      <c r="I929" s="308"/>
      <c r="J929" s="308">
        <f>J924</f>
        <v>1250</v>
      </c>
      <c r="K929" s="308" t="str">
        <f>K924</f>
        <v>mm</v>
      </c>
      <c r="L929" s="367" t="str">
        <f t="shared" si="569"/>
        <v>1250 mm</v>
      </c>
      <c r="M929" s="319">
        <v>1</v>
      </c>
      <c r="N929" s="271" t="s">
        <v>81</v>
      </c>
      <c r="O929" s="272">
        <v>1</v>
      </c>
      <c r="P929" s="296" t="s">
        <v>81</v>
      </c>
      <c r="Q929" s="324">
        <f t="shared" si="574"/>
        <v>1</v>
      </c>
      <c r="R929" s="331" t="str">
        <f t="shared" si="574"/>
        <v>Day</v>
      </c>
      <c r="S929" s="290">
        <f t="shared" si="570"/>
        <v>1</v>
      </c>
      <c r="T929" s="275"/>
      <c r="U929" s="290">
        <f t="shared" si="571"/>
        <v>1</v>
      </c>
      <c r="V929" s="276" t="s">
        <v>42</v>
      </c>
    </row>
    <row r="930" spans="1:22" s="172" customFormat="1" ht="20.25" customHeight="1">
      <c r="A930" s="263" t="str">
        <f t="shared" si="568"/>
        <v/>
      </c>
      <c r="B930" s="263"/>
      <c r="C930" s="264">
        <f t="shared" si="535"/>
        <v>929</v>
      </c>
      <c r="D930" s="277" t="s">
        <v>1502</v>
      </c>
      <c r="E930" s="293">
        <f t="shared" si="572"/>
        <v>928</v>
      </c>
      <c r="F930" s="267" t="s">
        <v>312</v>
      </c>
      <c r="G930" s="267"/>
      <c r="H930" s="308">
        <f t="shared" si="573"/>
        <v>18</v>
      </c>
      <c r="I930" s="308"/>
      <c r="J930" s="308">
        <f>J925</f>
        <v>0</v>
      </c>
      <c r="K930" s="308" t="str">
        <f>K925</f>
        <v>mm</v>
      </c>
      <c r="L930" s="367" t="str">
        <f t="shared" si="569"/>
        <v>0 mm</v>
      </c>
      <c r="M930" s="319">
        <v>1</v>
      </c>
      <c r="N930" s="271" t="s">
        <v>81</v>
      </c>
      <c r="O930" s="272">
        <v>1</v>
      </c>
      <c r="P930" s="296" t="s">
        <v>81</v>
      </c>
      <c r="Q930" s="324">
        <f t="shared" si="574"/>
        <v>1</v>
      </c>
      <c r="R930" s="331" t="str">
        <f t="shared" si="574"/>
        <v>Day</v>
      </c>
      <c r="S930" s="290">
        <f t="shared" si="570"/>
        <v>1</v>
      </c>
      <c r="T930" s="275"/>
      <c r="U930" s="290">
        <f t="shared" si="571"/>
        <v>1</v>
      </c>
      <c r="V930" s="276" t="s">
        <v>42</v>
      </c>
    </row>
    <row r="931" spans="1:22" s="172" customFormat="1" ht="20.25" customHeight="1">
      <c r="A931" s="263">
        <f t="shared" si="568"/>
        <v>930</v>
      </c>
      <c r="B931" s="263" t="s">
        <v>1263</v>
      </c>
      <c r="C931" s="264">
        <f t="shared" si="535"/>
        <v>930</v>
      </c>
      <c r="D931" s="265" t="s">
        <v>1503</v>
      </c>
      <c r="E931" s="279">
        <f>C926</f>
        <v>925</v>
      </c>
      <c r="F931" s="267"/>
      <c r="G931" s="267"/>
      <c r="H931" s="268"/>
      <c r="I931" s="268"/>
      <c r="J931" s="269"/>
      <c r="K931" s="269"/>
      <c r="L931" s="269"/>
      <c r="M931" s="319"/>
      <c r="N931" s="271"/>
      <c r="O931" s="272"/>
      <c r="P931" s="271"/>
      <c r="Q931" s="273"/>
      <c r="R931" s="271"/>
      <c r="S931" s="290">
        <f t="shared" si="570"/>
        <v>0</v>
      </c>
      <c r="T931" s="275"/>
      <c r="U931" s="307"/>
      <c r="V931" s="276"/>
    </row>
    <row r="932" spans="1:22" s="172" customFormat="1" ht="20.25" customHeight="1">
      <c r="A932" s="263" t="str">
        <f t="shared" si="568"/>
        <v/>
      </c>
      <c r="B932" s="263"/>
      <c r="C932" s="264">
        <f t="shared" si="535"/>
        <v>931</v>
      </c>
      <c r="D932" s="277" t="s">
        <v>1504</v>
      </c>
      <c r="E932" s="293"/>
      <c r="F932" s="267" t="s">
        <v>286</v>
      </c>
      <c r="G932" s="267"/>
      <c r="H932" s="308">
        <f>H930</f>
        <v>18</v>
      </c>
      <c r="I932" s="308"/>
      <c r="J932" s="308">
        <f>J927</f>
        <v>2500</v>
      </c>
      <c r="K932" s="308" t="str">
        <f>K927</f>
        <v>mm</v>
      </c>
      <c r="L932" s="367" t="str">
        <f t="shared" ref="L932:L933" si="575">J932&amp;" "&amp;K932</f>
        <v>2500 mm</v>
      </c>
      <c r="M932" s="319">
        <v>1</v>
      </c>
      <c r="N932" s="271" t="s">
        <v>81</v>
      </c>
      <c r="O932" s="327">
        <f>M932</f>
        <v>1</v>
      </c>
      <c r="P932" s="296" t="s">
        <v>81</v>
      </c>
      <c r="Q932" s="273">
        <v>3</v>
      </c>
      <c r="R932" s="271" t="s">
        <v>112</v>
      </c>
      <c r="S932" s="290">
        <f t="shared" si="570"/>
        <v>3</v>
      </c>
      <c r="T932" s="275">
        <v>1</v>
      </c>
      <c r="U932" s="290">
        <f t="shared" si="571"/>
        <v>4</v>
      </c>
      <c r="V932" s="276" t="s">
        <v>48</v>
      </c>
    </row>
    <row r="933" spans="1:22" s="172" customFormat="1" ht="20.25" customHeight="1">
      <c r="A933" s="263" t="str">
        <f t="shared" si="568"/>
        <v/>
      </c>
      <c r="B933" s="263"/>
      <c r="C933" s="264">
        <f t="shared" si="535"/>
        <v>932</v>
      </c>
      <c r="D933" s="277" t="s">
        <v>1504</v>
      </c>
      <c r="E933" s="293">
        <f t="shared" ref="E933:E935" si="576">C932</f>
        <v>931</v>
      </c>
      <c r="F933" s="267" t="s">
        <v>286</v>
      </c>
      <c r="G933" s="267"/>
      <c r="H933" s="308">
        <f>H930</f>
        <v>18</v>
      </c>
      <c r="I933" s="308"/>
      <c r="J933" s="308">
        <f>J928</f>
        <v>2500</v>
      </c>
      <c r="K933" s="308" t="str">
        <f>K928</f>
        <v>mm</v>
      </c>
      <c r="L933" s="367" t="str">
        <f t="shared" si="575"/>
        <v>2500 mm</v>
      </c>
      <c r="M933" s="319">
        <v>1</v>
      </c>
      <c r="N933" s="271" t="s">
        <v>81</v>
      </c>
      <c r="O933" s="327">
        <f>M933</f>
        <v>1</v>
      </c>
      <c r="P933" s="296" t="s">
        <v>81</v>
      </c>
      <c r="Q933" s="324">
        <f>Q932</f>
        <v>3</v>
      </c>
      <c r="R933" s="271" t="s">
        <v>112</v>
      </c>
      <c r="S933" s="290">
        <f t="shared" si="570"/>
        <v>3</v>
      </c>
      <c r="T933" s="275">
        <v>1</v>
      </c>
      <c r="U933" s="290">
        <f t="shared" si="571"/>
        <v>4</v>
      </c>
      <c r="V933" s="276" t="s">
        <v>48</v>
      </c>
    </row>
    <row r="934" spans="1:22" s="172" customFormat="1" ht="20.25" customHeight="1">
      <c r="A934" s="263" t="str">
        <f t="shared" si="568"/>
        <v/>
      </c>
      <c r="B934" s="263"/>
      <c r="C934" s="264">
        <f t="shared" si="535"/>
        <v>933</v>
      </c>
      <c r="D934" s="277" t="s">
        <v>1504</v>
      </c>
      <c r="E934" s="293">
        <f t="shared" si="576"/>
        <v>932</v>
      </c>
      <c r="F934" s="267" t="s">
        <v>286</v>
      </c>
      <c r="G934" s="267"/>
      <c r="H934" s="308">
        <f>H930</f>
        <v>18</v>
      </c>
      <c r="I934" s="308"/>
      <c r="J934" s="308">
        <f>J929</f>
        <v>1250</v>
      </c>
      <c r="K934" s="308" t="str">
        <f>K929</f>
        <v>mm</v>
      </c>
      <c r="L934" s="367" t="str">
        <f t="shared" ref="L934:L935" si="577">J934&amp;" "&amp;K934</f>
        <v>1250 mm</v>
      </c>
      <c r="M934" s="319">
        <v>1</v>
      </c>
      <c r="N934" s="271" t="s">
        <v>81</v>
      </c>
      <c r="O934" s="327">
        <f>M934</f>
        <v>1</v>
      </c>
      <c r="P934" s="296" t="s">
        <v>81</v>
      </c>
      <c r="Q934" s="324">
        <f>Q933</f>
        <v>3</v>
      </c>
      <c r="R934" s="271" t="s">
        <v>112</v>
      </c>
      <c r="S934" s="290">
        <f t="shared" si="570"/>
        <v>3</v>
      </c>
      <c r="T934" s="275">
        <v>1</v>
      </c>
      <c r="U934" s="290">
        <f t="shared" si="571"/>
        <v>4</v>
      </c>
      <c r="V934" s="276" t="s">
        <v>48</v>
      </c>
    </row>
    <row r="935" spans="1:22" s="172" customFormat="1" ht="20.25" customHeight="1">
      <c r="A935" s="263" t="str">
        <f t="shared" si="568"/>
        <v/>
      </c>
      <c r="B935" s="263"/>
      <c r="C935" s="264">
        <f t="shared" si="535"/>
        <v>934</v>
      </c>
      <c r="D935" s="277" t="s">
        <v>1504</v>
      </c>
      <c r="E935" s="293">
        <f t="shared" si="576"/>
        <v>933</v>
      </c>
      <c r="F935" s="267" t="s">
        <v>286</v>
      </c>
      <c r="G935" s="267"/>
      <c r="H935" s="308">
        <f>H930</f>
        <v>18</v>
      </c>
      <c r="I935" s="308"/>
      <c r="J935" s="308">
        <f>J930</f>
        <v>0</v>
      </c>
      <c r="K935" s="308" t="str">
        <f>K930</f>
        <v>mm</v>
      </c>
      <c r="L935" s="367" t="str">
        <f t="shared" si="577"/>
        <v>0 mm</v>
      </c>
      <c r="M935" s="319">
        <v>1</v>
      </c>
      <c r="N935" s="271" t="s">
        <v>81</v>
      </c>
      <c r="O935" s="327">
        <f>M935</f>
        <v>1</v>
      </c>
      <c r="P935" s="296" t="s">
        <v>81</v>
      </c>
      <c r="Q935" s="324">
        <f>Q934</f>
        <v>3</v>
      </c>
      <c r="R935" s="271" t="s">
        <v>112</v>
      </c>
      <c r="S935" s="290">
        <f t="shared" si="570"/>
        <v>3</v>
      </c>
      <c r="T935" s="275">
        <v>1</v>
      </c>
      <c r="U935" s="290">
        <f t="shared" si="571"/>
        <v>4</v>
      </c>
      <c r="V935" s="276" t="s">
        <v>48</v>
      </c>
    </row>
    <row r="936" spans="1:22" s="172" customFormat="1" ht="20.25" customHeight="1">
      <c r="A936" s="263">
        <f t="shared" si="568"/>
        <v>935</v>
      </c>
      <c r="B936" s="263" t="s">
        <v>1263</v>
      </c>
      <c r="C936" s="264">
        <f t="shared" si="535"/>
        <v>935</v>
      </c>
      <c r="D936" s="265" t="s">
        <v>1505</v>
      </c>
      <c r="E936" s="279">
        <f>C931</f>
        <v>930</v>
      </c>
      <c r="F936" s="267"/>
      <c r="G936" s="267"/>
      <c r="H936" s="268"/>
      <c r="I936" s="268"/>
      <c r="J936" s="269"/>
      <c r="K936" s="269"/>
      <c r="L936" s="269"/>
      <c r="M936" s="319"/>
      <c r="N936" s="271"/>
      <c r="O936" s="280"/>
      <c r="P936" s="271"/>
      <c r="Q936" s="281"/>
      <c r="R936" s="271"/>
      <c r="S936" s="312"/>
      <c r="T936" s="282"/>
      <c r="U936" s="312"/>
      <c r="V936" s="276"/>
    </row>
    <row r="937" spans="1:22" s="172" customFormat="1" ht="20.25" customHeight="1">
      <c r="A937" s="263" t="str">
        <f t="shared" si="568"/>
        <v/>
      </c>
      <c r="B937" s="263"/>
      <c r="C937" s="264">
        <f t="shared" si="535"/>
        <v>936</v>
      </c>
      <c r="D937" s="277" t="s">
        <v>1506</v>
      </c>
      <c r="E937" s="293"/>
      <c r="F937" s="267" t="s">
        <v>44</v>
      </c>
      <c r="G937" s="267"/>
      <c r="H937" s="316">
        <v>18</v>
      </c>
      <c r="I937" s="316"/>
      <c r="J937" s="315">
        <v>1560</v>
      </c>
      <c r="K937" s="294" t="s">
        <v>1833</v>
      </c>
      <c r="L937" s="367" t="str">
        <f>J937&amp;" "&amp;K937</f>
        <v>1560 mm id</v>
      </c>
      <c r="M937" s="319">
        <v>1</v>
      </c>
      <c r="N937" s="271" t="s">
        <v>81</v>
      </c>
      <c r="O937" s="297">
        <f>LEFT(L937,SEARCH(" ",L937,1)-1)*3.142*M937*0.001</f>
        <v>4.9015199999999997</v>
      </c>
      <c r="P937" s="271" t="s">
        <v>139</v>
      </c>
      <c r="Q937" s="324">
        <f>VLOOKUP(H937,BM!$B$3:$Y$62,10,FALSE)</f>
        <v>1</v>
      </c>
      <c r="R937" s="271" t="s">
        <v>112</v>
      </c>
      <c r="S937" s="290">
        <f t="shared" ref="S937:S940" si="578">O937*Q937</f>
        <v>4.9015199999999997</v>
      </c>
      <c r="T937" s="275">
        <v>1</v>
      </c>
      <c r="U937" s="290">
        <f t="shared" si="571"/>
        <v>5.9</v>
      </c>
      <c r="V937" s="276" t="s">
        <v>48</v>
      </c>
    </row>
    <row r="938" spans="1:22" s="172" customFormat="1" ht="20.25" customHeight="1">
      <c r="A938" s="263" t="str">
        <f t="shared" si="568"/>
        <v/>
      </c>
      <c r="B938" s="263"/>
      <c r="C938" s="264">
        <f t="shared" si="535"/>
        <v>937</v>
      </c>
      <c r="D938" s="277" t="s">
        <v>1506</v>
      </c>
      <c r="E938" s="293">
        <f t="shared" ref="E938:E940" si="579">C937</f>
        <v>936</v>
      </c>
      <c r="F938" s="267" t="s">
        <v>44</v>
      </c>
      <c r="G938" s="267"/>
      <c r="H938" s="316">
        <v>18</v>
      </c>
      <c r="I938" s="316"/>
      <c r="J938" s="308">
        <f>J937</f>
        <v>1560</v>
      </c>
      <c r="K938" s="308" t="str">
        <f>K937</f>
        <v>mm id</v>
      </c>
      <c r="L938" s="367" t="str">
        <f t="shared" ref="L938" si="580">J938&amp;" "&amp;K938</f>
        <v>1560 mm id</v>
      </c>
      <c r="M938" s="319">
        <v>1</v>
      </c>
      <c r="N938" s="271" t="s">
        <v>81</v>
      </c>
      <c r="O938" s="297">
        <f t="shared" ref="O938:O940" si="581">LEFT(L938,SEARCH(" ",L938,1)-1)*3.142*M938*0.001</f>
        <v>4.9015199999999997</v>
      </c>
      <c r="P938" s="271" t="s">
        <v>139</v>
      </c>
      <c r="Q938" s="324">
        <f>VLOOKUP(H938,BM!$B$3:$Y$62,10,FALSE)</f>
        <v>1</v>
      </c>
      <c r="R938" s="271" t="s">
        <v>112</v>
      </c>
      <c r="S938" s="290">
        <f t="shared" si="578"/>
        <v>4.9015199999999997</v>
      </c>
      <c r="T938" s="275">
        <v>1</v>
      </c>
      <c r="U938" s="290">
        <f t="shared" si="571"/>
        <v>5.9</v>
      </c>
      <c r="V938" s="276" t="s">
        <v>48</v>
      </c>
    </row>
    <row r="939" spans="1:22" s="172" customFormat="1" ht="20.25" customHeight="1">
      <c r="A939" s="263" t="str">
        <f t="shared" si="568"/>
        <v/>
      </c>
      <c r="B939" s="263"/>
      <c r="C939" s="264">
        <f t="shared" si="535"/>
        <v>938</v>
      </c>
      <c r="D939" s="277" t="s">
        <v>1506</v>
      </c>
      <c r="E939" s="293">
        <f t="shared" si="579"/>
        <v>937</v>
      </c>
      <c r="F939" s="267" t="s">
        <v>44</v>
      </c>
      <c r="G939" s="267"/>
      <c r="H939" s="316">
        <v>18</v>
      </c>
      <c r="I939" s="316"/>
      <c r="J939" s="308">
        <f>J938</f>
        <v>1560</v>
      </c>
      <c r="K939" s="308" t="str">
        <f>K938</f>
        <v>mm id</v>
      </c>
      <c r="L939" s="367" t="str">
        <f t="shared" ref="L939" si="582">J939&amp;" "&amp;K939</f>
        <v>1560 mm id</v>
      </c>
      <c r="M939" s="319">
        <v>1</v>
      </c>
      <c r="N939" s="271" t="s">
        <v>81</v>
      </c>
      <c r="O939" s="297">
        <f t="shared" si="581"/>
        <v>4.9015199999999997</v>
      </c>
      <c r="P939" s="271" t="s">
        <v>139</v>
      </c>
      <c r="Q939" s="324">
        <f>VLOOKUP(H939,BM!$B$3:$Y$62,10,FALSE)</f>
        <v>1</v>
      </c>
      <c r="R939" s="271" t="s">
        <v>112</v>
      </c>
      <c r="S939" s="290">
        <f t="shared" si="578"/>
        <v>4.9015199999999997</v>
      </c>
      <c r="T939" s="275">
        <v>1</v>
      </c>
      <c r="U939" s="290">
        <f t="shared" si="571"/>
        <v>5.9</v>
      </c>
      <c r="V939" s="276" t="s">
        <v>48</v>
      </c>
    </row>
    <row r="940" spans="1:22" s="172" customFormat="1" ht="20.25" customHeight="1">
      <c r="A940" s="263" t="str">
        <f t="shared" si="568"/>
        <v/>
      </c>
      <c r="B940" s="263"/>
      <c r="C940" s="264">
        <f t="shared" si="535"/>
        <v>939</v>
      </c>
      <c r="D940" s="277" t="s">
        <v>1506</v>
      </c>
      <c r="E940" s="293">
        <f t="shared" si="579"/>
        <v>938</v>
      </c>
      <c r="F940" s="267" t="s">
        <v>44</v>
      </c>
      <c r="G940" s="267"/>
      <c r="H940" s="316">
        <v>18</v>
      </c>
      <c r="I940" s="316"/>
      <c r="J940" s="315">
        <v>0</v>
      </c>
      <c r="K940" s="294" t="s">
        <v>1833</v>
      </c>
      <c r="L940" s="367" t="str">
        <f>J940&amp;" "&amp;K940</f>
        <v>0 mm id</v>
      </c>
      <c r="M940" s="319">
        <v>1</v>
      </c>
      <c r="N940" s="271" t="s">
        <v>81</v>
      </c>
      <c r="O940" s="297">
        <f t="shared" si="581"/>
        <v>0</v>
      </c>
      <c r="P940" s="271" t="s">
        <v>139</v>
      </c>
      <c r="Q940" s="324">
        <f>VLOOKUP(H940,BM!$B$3:$Y$62,10,FALSE)</f>
        <v>1</v>
      </c>
      <c r="R940" s="271" t="s">
        <v>112</v>
      </c>
      <c r="S940" s="290">
        <f t="shared" si="578"/>
        <v>0</v>
      </c>
      <c r="T940" s="275">
        <v>1</v>
      </c>
      <c r="U940" s="290">
        <f t="shared" si="571"/>
        <v>1</v>
      </c>
      <c r="V940" s="276" t="s">
        <v>48</v>
      </c>
    </row>
    <row r="941" spans="1:22" s="172" customFormat="1" ht="20.25" customHeight="1">
      <c r="A941" s="263">
        <f t="shared" si="568"/>
        <v>940</v>
      </c>
      <c r="B941" s="263" t="s">
        <v>1263</v>
      </c>
      <c r="C941" s="264">
        <f t="shared" si="535"/>
        <v>940</v>
      </c>
      <c r="D941" s="265" t="s">
        <v>1507</v>
      </c>
      <c r="E941" s="279">
        <f>C936</f>
        <v>935</v>
      </c>
      <c r="F941" s="267"/>
      <c r="G941" s="267"/>
      <c r="H941" s="268"/>
      <c r="I941" s="268"/>
      <c r="J941" s="269"/>
      <c r="K941" s="269"/>
      <c r="L941" s="269"/>
      <c r="M941" s="319"/>
      <c r="N941" s="271"/>
      <c r="O941" s="280"/>
      <c r="P941" s="271"/>
      <c r="Q941" s="281"/>
      <c r="R941" s="271"/>
      <c r="S941" s="312"/>
      <c r="T941" s="282"/>
      <c r="U941" s="312"/>
      <c r="V941" s="276"/>
    </row>
    <row r="942" spans="1:22" s="172" customFormat="1" ht="20.25" customHeight="1">
      <c r="A942" s="263" t="str">
        <f t="shared" si="568"/>
        <v/>
      </c>
      <c r="B942" s="263"/>
      <c r="C942" s="264">
        <f t="shared" si="535"/>
        <v>941</v>
      </c>
      <c r="D942" s="277" t="s">
        <v>1508</v>
      </c>
      <c r="E942" s="293"/>
      <c r="F942" s="267" t="s">
        <v>299</v>
      </c>
      <c r="G942" s="267"/>
      <c r="H942" s="316">
        <v>18</v>
      </c>
      <c r="I942" s="316"/>
      <c r="J942" s="308">
        <f>J939</f>
        <v>1560</v>
      </c>
      <c r="K942" s="308" t="str">
        <f>K939</f>
        <v>mm id</v>
      </c>
      <c r="L942" s="367" t="str">
        <f t="shared" ref="L942" si="583">J942&amp;" "&amp;K942</f>
        <v>1560 mm id</v>
      </c>
      <c r="M942" s="319">
        <v>1</v>
      </c>
      <c r="N942" s="271" t="s">
        <v>81</v>
      </c>
      <c r="O942" s="297">
        <f t="shared" ref="O942:O943" si="584">LEFT(L942,SEARCH(" ",L942,1)-1)*3.142*M942*0.001</f>
        <v>4.9015199999999997</v>
      </c>
      <c r="P942" s="271" t="s">
        <v>139</v>
      </c>
      <c r="Q942" s="324">
        <f>VLOOKUP(H942,BM!$B$3:$Y$62,10,FALSE)</f>
        <v>1</v>
      </c>
      <c r="R942" s="271" t="s">
        <v>112</v>
      </c>
      <c r="S942" s="290">
        <f t="shared" ref="S942:S943" si="585">O942*Q942</f>
        <v>4.9015199999999997</v>
      </c>
      <c r="T942" s="275">
        <v>1</v>
      </c>
      <c r="U942" s="290">
        <f t="shared" si="571"/>
        <v>5.9</v>
      </c>
      <c r="V942" s="276" t="s">
        <v>48</v>
      </c>
    </row>
    <row r="943" spans="1:22" s="172" customFormat="1" ht="20.25" customHeight="1">
      <c r="A943" s="263" t="str">
        <f t="shared" si="568"/>
        <v/>
      </c>
      <c r="B943" s="263"/>
      <c r="C943" s="264">
        <f t="shared" si="535"/>
        <v>942</v>
      </c>
      <c r="D943" s="277" t="s">
        <v>1509</v>
      </c>
      <c r="E943" s="293">
        <f t="shared" ref="E943" si="586">C942</f>
        <v>941</v>
      </c>
      <c r="F943" s="267" t="s">
        <v>44</v>
      </c>
      <c r="G943" s="267"/>
      <c r="H943" s="316">
        <v>18</v>
      </c>
      <c r="I943" s="316"/>
      <c r="J943" s="308">
        <f t="shared" ref="J943" si="587">J942</f>
        <v>1560</v>
      </c>
      <c r="K943" s="308" t="str">
        <f t="shared" ref="K943:L943" si="588">K942</f>
        <v>mm id</v>
      </c>
      <c r="L943" s="367" t="str">
        <f t="shared" ref="L943" si="589">J943&amp;" "&amp;K943</f>
        <v>1560 mm id</v>
      </c>
      <c r="M943" s="319">
        <v>1</v>
      </c>
      <c r="N943" s="271" t="s">
        <v>81</v>
      </c>
      <c r="O943" s="297">
        <f t="shared" si="584"/>
        <v>4.9015199999999997</v>
      </c>
      <c r="P943" s="271" t="s">
        <v>139</v>
      </c>
      <c r="Q943" s="273">
        <v>1</v>
      </c>
      <c r="R943" s="271" t="s">
        <v>112</v>
      </c>
      <c r="S943" s="290">
        <f t="shared" si="585"/>
        <v>4.9015199999999997</v>
      </c>
      <c r="T943" s="275">
        <v>1</v>
      </c>
      <c r="U943" s="290">
        <f t="shared" si="571"/>
        <v>5.9</v>
      </c>
      <c r="V943" s="276" t="s">
        <v>48</v>
      </c>
    </row>
    <row r="944" spans="1:22" s="172" customFormat="1" ht="20.25" customHeight="1">
      <c r="A944" s="263">
        <f t="shared" si="568"/>
        <v>943</v>
      </c>
      <c r="B944" s="263" t="s">
        <v>1263</v>
      </c>
      <c r="C944" s="264">
        <f t="shared" si="535"/>
        <v>943</v>
      </c>
      <c r="D944" s="265" t="s">
        <v>1510</v>
      </c>
      <c r="E944" s="279">
        <f>C941</f>
        <v>940</v>
      </c>
      <c r="F944" s="267"/>
      <c r="G944" s="267"/>
      <c r="H944" s="268"/>
      <c r="I944" s="268"/>
      <c r="J944" s="269"/>
      <c r="K944" s="269"/>
      <c r="L944" s="269"/>
      <c r="M944" s="319"/>
      <c r="N944" s="271"/>
      <c r="O944" s="280"/>
      <c r="P944" s="271"/>
      <c r="Q944" s="281"/>
      <c r="R944" s="271"/>
      <c r="S944" s="312"/>
      <c r="T944" s="282"/>
      <c r="U944" s="312"/>
      <c r="V944" s="276"/>
    </row>
    <row r="945" spans="1:22" s="172" customFormat="1" ht="20.25" customHeight="1">
      <c r="A945" s="263" t="str">
        <f t="shared" si="568"/>
        <v/>
      </c>
      <c r="B945" s="263"/>
      <c r="C945" s="264">
        <f t="shared" si="535"/>
        <v>944</v>
      </c>
      <c r="D945" s="277" t="s">
        <v>1511</v>
      </c>
      <c r="E945" s="293"/>
      <c r="F945" s="267" t="s">
        <v>44</v>
      </c>
      <c r="G945" s="267"/>
      <c r="H945" s="316">
        <v>18</v>
      </c>
      <c r="I945" s="316"/>
      <c r="J945" s="317">
        <f>J943</f>
        <v>1560</v>
      </c>
      <c r="K945" s="317" t="str">
        <f>K943</f>
        <v>mm id</v>
      </c>
      <c r="L945" s="367" t="str">
        <f t="shared" ref="L945" si="590">J945&amp;" "&amp;K945</f>
        <v>1560 mm id</v>
      </c>
      <c r="M945" s="319">
        <v>1</v>
      </c>
      <c r="N945" s="271" t="s">
        <v>81</v>
      </c>
      <c r="O945" s="272">
        <v>1</v>
      </c>
      <c r="P945" s="271" t="s">
        <v>81</v>
      </c>
      <c r="Q945" s="273">
        <v>1</v>
      </c>
      <c r="R945" s="271" t="s">
        <v>112</v>
      </c>
      <c r="S945" s="290">
        <f t="shared" ref="S945:S949" si="591">O945*Q945</f>
        <v>1</v>
      </c>
      <c r="T945" s="275">
        <v>1</v>
      </c>
      <c r="U945" s="290">
        <f t="shared" si="571"/>
        <v>2</v>
      </c>
      <c r="V945" s="276" t="s">
        <v>48</v>
      </c>
    </row>
    <row r="946" spans="1:22" s="172" customFormat="1" ht="20.25" customHeight="1">
      <c r="A946" s="263" t="str">
        <f t="shared" si="568"/>
        <v/>
      </c>
      <c r="B946" s="263"/>
      <c r="C946" s="264">
        <f t="shared" si="535"/>
        <v>945</v>
      </c>
      <c r="D946" s="277" t="s">
        <v>1512</v>
      </c>
      <c r="E946" s="293">
        <f t="shared" ref="E946:E949" si="592">C945</f>
        <v>944</v>
      </c>
      <c r="F946" s="267" t="s">
        <v>115</v>
      </c>
      <c r="G946" s="267"/>
      <c r="H946" s="308">
        <f>12</f>
        <v>12</v>
      </c>
      <c r="I946" s="308"/>
      <c r="J946" s="317">
        <f>J945</f>
        <v>1560</v>
      </c>
      <c r="K946" s="317" t="str">
        <f>K945</f>
        <v>mm id</v>
      </c>
      <c r="L946" s="367" t="str">
        <f t="shared" ref="L946" si="593">J946&amp;" "&amp;K946</f>
        <v>1560 mm id</v>
      </c>
      <c r="M946" s="319">
        <v>1</v>
      </c>
      <c r="N946" s="271" t="s">
        <v>81</v>
      </c>
      <c r="O946" s="297">
        <f t="shared" ref="O946:O949" si="594">LEFT(L946,SEARCH(" ",L946,1)-1)*3.142*M946*0.001</f>
        <v>4.9015199999999997</v>
      </c>
      <c r="P946" s="271" t="s">
        <v>139</v>
      </c>
      <c r="Q946" s="324">
        <f>VLOOKUP(H946,BM!$B$3:$Y$62,17,FALSE)</f>
        <v>2.5</v>
      </c>
      <c r="R946" s="271" t="s">
        <v>112</v>
      </c>
      <c r="S946" s="290">
        <f t="shared" si="591"/>
        <v>12.253799999999998</v>
      </c>
      <c r="T946" s="275">
        <v>1</v>
      </c>
      <c r="U946" s="290">
        <f t="shared" si="571"/>
        <v>13.25</v>
      </c>
      <c r="V946" s="276" t="s">
        <v>48</v>
      </c>
    </row>
    <row r="947" spans="1:22" s="172" customFormat="1" ht="20.25" customHeight="1">
      <c r="A947" s="263" t="str">
        <f t="shared" si="568"/>
        <v/>
      </c>
      <c r="B947" s="263"/>
      <c r="C947" s="264">
        <f t="shared" si="535"/>
        <v>946</v>
      </c>
      <c r="D947" s="277" t="s">
        <v>1513</v>
      </c>
      <c r="E947" s="293">
        <f t="shared" si="592"/>
        <v>945</v>
      </c>
      <c r="F947" s="267" t="s">
        <v>61</v>
      </c>
      <c r="G947" s="267"/>
      <c r="H947" s="308">
        <f>18</f>
        <v>18</v>
      </c>
      <c r="I947" s="308"/>
      <c r="J947" s="317">
        <f>J946</f>
        <v>1560</v>
      </c>
      <c r="K947" s="317" t="str">
        <f>K946</f>
        <v>mm id</v>
      </c>
      <c r="L947" s="367" t="str">
        <f t="shared" ref="L947" si="595">J947&amp;" "&amp;K947</f>
        <v>1560 mm id</v>
      </c>
      <c r="M947" s="319">
        <v>1</v>
      </c>
      <c r="N947" s="271" t="s">
        <v>81</v>
      </c>
      <c r="O947" s="297">
        <f t="shared" si="594"/>
        <v>4.9015199999999997</v>
      </c>
      <c r="P947" s="271" t="s">
        <v>139</v>
      </c>
      <c r="Q947" s="324">
        <f>VLOOKUP(H947,BM!$B$3:$Y$62,18,FALSE)</f>
        <v>1</v>
      </c>
      <c r="R947" s="271" t="s">
        <v>112</v>
      </c>
      <c r="S947" s="290">
        <f t="shared" si="591"/>
        <v>4.9015199999999997</v>
      </c>
      <c r="T947" s="275">
        <v>1</v>
      </c>
      <c r="U947" s="290">
        <f t="shared" si="571"/>
        <v>5.9</v>
      </c>
      <c r="V947" s="276" t="s">
        <v>48</v>
      </c>
    </row>
    <row r="948" spans="1:22" s="172" customFormat="1" ht="20.25" customHeight="1">
      <c r="A948" s="263" t="str">
        <f t="shared" si="568"/>
        <v/>
      </c>
      <c r="B948" s="263"/>
      <c r="C948" s="264">
        <f t="shared" si="535"/>
        <v>947</v>
      </c>
      <c r="D948" s="277" t="s">
        <v>1514</v>
      </c>
      <c r="E948" s="293">
        <f t="shared" si="592"/>
        <v>946</v>
      </c>
      <c r="F948" s="267" t="s">
        <v>115</v>
      </c>
      <c r="G948" s="267"/>
      <c r="H948" s="316">
        <v>6</v>
      </c>
      <c r="I948" s="316"/>
      <c r="J948" s="317">
        <f>J947</f>
        <v>1560</v>
      </c>
      <c r="K948" s="317" t="str">
        <f>K947</f>
        <v>mm id</v>
      </c>
      <c r="L948" s="367" t="str">
        <f t="shared" ref="L948" si="596">J948&amp;" "&amp;K948</f>
        <v>1560 mm id</v>
      </c>
      <c r="M948" s="319">
        <v>1</v>
      </c>
      <c r="N948" s="271" t="s">
        <v>81</v>
      </c>
      <c r="O948" s="297">
        <f t="shared" si="594"/>
        <v>4.9015199999999997</v>
      </c>
      <c r="P948" s="271" t="s">
        <v>139</v>
      </c>
      <c r="Q948" s="324">
        <f>VLOOKUP(H948,BM!$B$3:$Y$62,17,FALSE)</f>
        <v>0.9</v>
      </c>
      <c r="R948" s="271" t="s">
        <v>112</v>
      </c>
      <c r="S948" s="290">
        <f t="shared" si="591"/>
        <v>4.4113679999999995</v>
      </c>
      <c r="T948" s="275">
        <v>1</v>
      </c>
      <c r="U948" s="290">
        <f t="shared" si="571"/>
        <v>5.41</v>
      </c>
      <c r="V948" s="276" t="s">
        <v>48</v>
      </c>
    </row>
    <row r="949" spans="1:22" s="172" customFormat="1" ht="20.25" customHeight="1">
      <c r="A949" s="263" t="str">
        <f t="shared" si="568"/>
        <v/>
      </c>
      <c r="B949" s="263"/>
      <c r="C949" s="264">
        <f t="shared" si="535"/>
        <v>948</v>
      </c>
      <c r="D949" s="277" t="s">
        <v>1515</v>
      </c>
      <c r="E949" s="293">
        <f t="shared" si="592"/>
        <v>947</v>
      </c>
      <c r="F949" s="267" t="s">
        <v>61</v>
      </c>
      <c r="G949" s="267"/>
      <c r="H949" s="316">
        <v>18</v>
      </c>
      <c r="I949" s="316"/>
      <c r="J949" s="317">
        <f>J948</f>
        <v>1560</v>
      </c>
      <c r="K949" s="317" t="str">
        <f>K948</f>
        <v>mm id</v>
      </c>
      <c r="L949" s="367" t="str">
        <f t="shared" ref="L949" si="597">J949&amp;" "&amp;K949</f>
        <v>1560 mm id</v>
      </c>
      <c r="M949" s="319">
        <v>1</v>
      </c>
      <c r="N949" s="271" t="s">
        <v>81</v>
      </c>
      <c r="O949" s="297">
        <f t="shared" si="594"/>
        <v>4.9015199999999997</v>
      </c>
      <c r="P949" s="271" t="s">
        <v>139</v>
      </c>
      <c r="Q949" s="324">
        <f>VLOOKUP(H949,BM!$B$3:$Y$62,20,FALSE)</f>
        <v>0.5</v>
      </c>
      <c r="R949" s="271" t="s">
        <v>112</v>
      </c>
      <c r="S949" s="290">
        <f t="shared" si="591"/>
        <v>2.4507599999999998</v>
      </c>
      <c r="T949" s="275">
        <v>1</v>
      </c>
      <c r="U949" s="290">
        <f t="shared" si="571"/>
        <v>3.45</v>
      </c>
      <c r="V949" s="276" t="s">
        <v>48</v>
      </c>
    </row>
    <row r="950" spans="1:22" s="172" customFormat="1" ht="20.25" customHeight="1">
      <c r="A950" s="263">
        <f t="shared" si="568"/>
        <v>949</v>
      </c>
      <c r="B950" s="263" t="s">
        <v>1263</v>
      </c>
      <c r="C950" s="264">
        <f t="shared" si="535"/>
        <v>949</v>
      </c>
      <c r="D950" s="265" t="s">
        <v>1516</v>
      </c>
      <c r="E950" s="279">
        <f>C944</f>
        <v>943</v>
      </c>
      <c r="F950" s="267"/>
      <c r="G950" s="267"/>
      <c r="H950" s="268"/>
      <c r="I950" s="268"/>
      <c r="J950" s="269"/>
      <c r="K950" s="269"/>
      <c r="L950" s="269"/>
      <c r="M950" s="319"/>
      <c r="N950" s="271"/>
      <c r="O950" s="280"/>
      <c r="P950" s="271"/>
      <c r="Q950" s="281"/>
      <c r="R950" s="271"/>
      <c r="S950" s="312"/>
      <c r="T950" s="282"/>
      <c r="U950" s="312"/>
      <c r="V950" s="276"/>
    </row>
    <row r="951" spans="1:22" s="172" customFormat="1" ht="20.25" customHeight="1">
      <c r="A951" s="263" t="str">
        <f t="shared" si="568"/>
        <v/>
      </c>
      <c r="B951" s="263"/>
      <c r="C951" s="264">
        <f t="shared" si="535"/>
        <v>950</v>
      </c>
      <c r="D951" s="277" t="s">
        <v>1517</v>
      </c>
      <c r="E951" s="293"/>
      <c r="F951" s="267" t="s">
        <v>299</v>
      </c>
      <c r="G951" s="267"/>
      <c r="H951" s="316">
        <v>18</v>
      </c>
      <c r="I951" s="316"/>
      <c r="J951" s="317">
        <f>J949</f>
        <v>1560</v>
      </c>
      <c r="K951" s="317" t="str">
        <f>K949</f>
        <v>mm id</v>
      </c>
      <c r="L951" s="367" t="str">
        <f t="shared" ref="L951" si="598">J951&amp;" "&amp;K951</f>
        <v>1560 mm id</v>
      </c>
      <c r="M951" s="319">
        <v>1</v>
      </c>
      <c r="N951" s="271" t="s">
        <v>81</v>
      </c>
      <c r="O951" s="297">
        <f t="shared" ref="O951:O952" si="599">LEFT(L951,SEARCH(" ",L951,1)-1)*3.142*M951*0.001</f>
        <v>4.9015199999999997</v>
      </c>
      <c r="P951" s="271" t="s">
        <v>139</v>
      </c>
      <c r="Q951" s="324">
        <f>VLOOKUP(H951,BM!$B$3:$Y$62,10,FALSE)</f>
        <v>1</v>
      </c>
      <c r="R951" s="271" t="s">
        <v>112</v>
      </c>
      <c r="S951" s="290">
        <f t="shared" ref="S951:S958" si="600">O951*Q951</f>
        <v>4.9015199999999997</v>
      </c>
      <c r="T951" s="275">
        <v>1</v>
      </c>
      <c r="U951" s="290">
        <f t="shared" si="571"/>
        <v>5.9</v>
      </c>
      <c r="V951" s="276" t="s">
        <v>48</v>
      </c>
    </row>
    <row r="952" spans="1:22" s="172" customFormat="1" ht="20.25" customHeight="1">
      <c r="A952" s="263" t="str">
        <f t="shared" si="568"/>
        <v/>
      </c>
      <c r="B952" s="263"/>
      <c r="C952" s="264">
        <f t="shared" si="535"/>
        <v>951</v>
      </c>
      <c r="D952" s="277" t="s">
        <v>1518</v>
      </c>
      <c r="E952" s="293">
        <f t="shared" ref="E952" si="601">C951</f>
        <v>950</v>
      </c>
      <c r="F952" s="267" t="s">
        <v>44</v>
      </c>
      <c r="G952" s="267"/>
      <c r="H952" s="316">
        <v>18</v>
      </c>
      <c r="I952" s="316"/>
      <c r="J952" s="317">
        <f>J949</f>
        <v>1560</v>
      </c>
      <c r="K952" s="317" t="str">
        <f>K949</f>
        <v>mm id</v>
      </c>
      <c r="L952" s="367" t="str">
        <f t="shared" ref="L952" si="602">J952&amp;" "&amp;K952</f>
        <v>1560 mm id</v>
      </c>
      <c r="M952" s="319">
        <v>1</v>
      </c>
      <c r="N952" s="271" t="s">
        <v>81</v>
      </c>
      <c r="O952" s="297">
        <f t="shared" si="599"/>
        <v>4.9015199999999997</v>
      </c>
      <c r="P952" s="271" t="s">
        <v>139</v>
      </c>
      <c r="Q952" s="273">
        <v>1</v>
      </c>
      <c r="R952" s="271" t="s">
        <v>112</v>
      </c>
      <c r="S952" s="290">
        <f t="shared" si="600"/>
        <v>4.9015199999999997</v>
      </c>
      <c r="T952" s="275">
        <v>1</v>
      </c>
      <c r="U952" s="290">
        <f t="shared" si="571"/>
        <v>5.9</v>
      </c>
      <c r="V952" s="276" t="s">
        <v>48</v>
      </c>
    </row>
    <row r="953" spans="1:22" s="172" customFormat="1" ht="20.25" customHeight="1">
      <c r="A953" s="263">
        <f t="shared" si="568"/>
        <v>952</v>
      </c>
      <c r="B953" s="263" t="s">
        <v>1263</v>
      </c>
      <c r="C953" s="264">
        <f t="shared" si="535"/>
        <v>952</v>
      </c>
      <c r="D953" s="265" t="s">
        <v>1519</v>
      </c>
      <c r="E953" s="279">
        <f>C950</f>
        <v>949</v>
      </c>
      <c r="F953" s="267"/>
      <c r="G953" s="267"/>
      <c r="H953" s="268"/>
      <c r="I953" s="268"/>
      <c r="J953" s="269"/>
      <c r="K953" s="269"/>
      <c r="L953" s="269"/>
      <c r="M953" s="319"/>
      <c r="N953" s="271"/>
      <c r="O953" s="272"/>
      <c r="P953" s="271"/>
      <c r="Q953" s="273"/>
      <c r="R953" s="271"/>
      <c r="S953" s="290">
        <f t="shared" si="600"/>
        <v>0</v>
      </c>
      <c r="T953" s="275"/>
      <c r="U953" s="307"/>
      <c r="V953" s="276"/>
    </row>
    <row r="954" spans="1:22" s="172" customFormat="1" ht="20.25" customHeight="1">
      <c r="A954" s="263" t="str">
        <f t="shared" si="568"/>
        <v/>
      </c>
      <c r="B954" s="263"/>
      <c r="C954" s="264">
        <f t="shared" si="535"/>
        <v>953</v>
      </c>
      <c r="D954" s="277" t="s">
        <v>1520</v>
      </c>
      <c r="E954" s="293"/>
      <c r="F954" s="267" t="s">
        <v>44</v>
      </c>
      <c r="G954" s="267"/>
      <c r="H954" s="316">
        <v>18</v>
      </c>
      <c r="I954" s="316"/>
      <c r="J954" s="317">
        <f>J949</f>
        <v>1560</v>
      </c>
      <c r="K954" s="317" t="str">
        <f>K949</f>
        <v>mm id</v>
      </c>
      <c r="L954" s="367" t="str">
        <f t="shared" ref="L954" si="603">J954&amp;" "&amp;K954</f>
        <v>1560 mm id</v>
      </c>
      <c r="M954" s="319">
        <v>1</v>
      </c>
      <c r="N954" s="271" t="s">
        <v>81</v>
      </c>
      <c r="O954" s="272">
        <v>1</v>
      </c>
      <c r="P954" s="271" t="s">
        <v>139</v>
      </c>
      <c r="Q954" s="273">
        <v>1</v>
      </c>
      <c r="R954" s="271" t="s">
        <v>112</v>
      </c>
      <c r="S954" s="290">
        <f t="shared" si="600"/>
        <v>1</v>
      </c>
      <c r="T954" s="275">
        <v>1</v>
      </c>
      <c r="U954" s="290">
        <f t="shared" si="571"/>
        <v>2</v>
      </c>
      <c r="V954" s="276" t="s">
        <v>48</v>
      </c>
    </row>
    <row r="955" spans="1:22" s="172" customFormat="1" ht="20.25" customHeight="1">
      <c r="A955" s="263" t="str">
        <f t="shared" si="568"/>
        <v/>
      </c>
      <c r="B955" s="263"/>
      <c r="C955" s="264">
        <f t="shared" si="535"/>
        <v>954</v>
      </c>
      <c r="D955" s="277" t="s">
        <v>1521</v>
      </c>
      <c r="E955" s="293">
        <f t="shared" ref="E955:E958" si="604">C954</f>
        <v>953</v>
      </c>
      <c r="F955" s="267" t="s">
        <v>115</v>
      </c>
      <c r="G955" s="267"/>
      <c r="H955" s="308">
        <f>12</f>
        <v>12</v>
      </c>
      <c r="I955" s="308"/>
      <c r="J955" s="317">
        <f>J952</f>
        <v>1560</v>
      </c>
      <c r="K955" s="317" t="str">
        <f>K952</f>
        <v>mm id</v>
      </c>
      <c r="L955" s="367" t="str">
        <f t="shared" ref="L955:L958" si="605">J955&amp;" "&amp;K955</f>
        <v>1560 mm id</v>
      </c>
      <c r="M955" s="319">
        <v>1</v>
      </c>
      <c r="N955" s="271" t="s">
        <v>81</v>
      </c>
      <c r="O955" s="297">
        <f t="shared" ref="O955:O958" si="606">LEFT(L955,SEARCH(" ",L955,1)-1)*3.142*M955*0.001</f>
        <v>4.9015199999999997</v>
      </c>
      <c r="P955" s="271" t="s">
        <v>139</v>
      </c>
      <c r="Q955" s="324">
        <f>VLOOKUP(H955,BM!$B$3:$Y$62,17,FALSE)</f>
        <v>2.5</v>
      </c>
      <c r="R955" s="271" t="s">
        <v>112</v>
      </c>
      <c r="S955" s="290">
        <f t="shared" si="600"/>
        <v>12.253799999999998</v>
      </c>
      <c r="T955" s="275">
        <v>1</v>
      </c>
      <c r="U955" s="290">
        <f t="shared" si="571"/>
        <v>13.25</v>
      </c>
      <c r="V955" s="276" t="s">
        <v>48</v>
      </c>
    </row>
    <row r="956" spans="1:22" s="172" customFormat="1" ht="20.25" customHeight="1">
      <c r="A956" s="263" t="str">
        <f t="shared" si="568"/>
        <v/>
      </c>
      <c r="B956" s="263"/>
      <c r="C956" s="264">
        <f t="shared" si="535"/>
        <v>955</v>
      </c>
      <c r="D956" s="277" t="s">
        <v>1522</v>
      </c>
      <c r="E956" s="293">
        <f t="shared" si="604"/>
        <v>954</v>
      </c>
      <c r="F956" s="267" t="s">
        <v>61</v>
      </c>
      <c r="G956" s="267"/>
      <c r="H956" s="308">
        <f>18</f>
        <v>18</v>
      </c>
      <c r="I956" s="308"/>
      <c r="J956" s="317">
        <f>J955</f>
        <v>1560</v>
      </c>
      <c r="K956" s="317" t="str">
        <f>K955</f>
        <v>mm id</v>
      </c>
      <c r="L956" s="367" t="str">
        <f t="shared" si="605"/>
        <v>1560 mm id</v>
      </c>
      <c r="M956" s="319">
        <v>1</v>
      </c>
      <c r="N956" s="271" t="s">
        <v>81</v>
      </c>
      <c r="O956" s="297">
        <f t="shared" si="606"/>
        <v>4.9015199999999997</v>
      </c>
      <c r="P956" s="271" t="s">
        <v>139</v>
      </c>
      <c r="Q956" s="324">
        <f>VLOOKUP(H956,BM!$B$3:$Y$62,18,FALSE)</f>
        <v>1</v>
      </c>
      <c r="R956" s="271" t="s">
        <v>112</v>
      </c>
      <c r="S956" s="290">
        <f t="shared" si="600"/>
        <v>4.9015199999999997</v>
      </c>
      <c r="T956" s="275">
        <v>1</v>
      </c>
      <c r="U956" s="290">
        <f t="shared" si="571"/>
        <v>5.9</v>
      </c>
      <c r="V956" s="276" t="s">
        <v>48</v>
      </c>
    </row>
    <row r="957" spans="1:22" s="172" customFormat="1" ht="20.25" customHeight="1">
      <c r="A957" s="263" t="str">
        <f t="shared" si="568"/>
        <v/>
      </c>
      <c r="B957" s="263"/>
      <c r="C957" s="264">
        <f t="shared" si="535"/>
        <v>956</v>
      </c>
      <c r="D957" s="277" t="s">
        <v>1523</v>
      </c>
      <c r="E957" s="293">
        <f t="shared" si="604"/>
        <v>955</v>
      </c>
      <c r="F957" s="267" t="s">
        <v>115</v>
      </c>
      <c r="G957" s="267"/>
      <c r="H957" s="316">
        <v>6</v>
      </c>
      <c r="I957" s="316"/>
      <c r="J957" s="317">
        <f>J956</f>
        <v>1560</v>
      </c>
      <c r="K957" s="317" t="str">
        <f>K956</f>
        <v>mm id</v>
      </c>
      <c r="L957" s="367" t="str">
        <f t="shared" si="605"/>
        <v>1560 mm id</v>
      </c>
      <c r="M957" s="319">
        <v>1</v>
      </c>
      <c r="N957" s="271" t="s">
        <v>81</v>
      </c>
      <c r="O957" s="297">
        <f t="shared" si="606"/>
        <v>4.9015199999999997</v>
      </c>
      <c r="P957" s="271" t="s">
        <v>139</v>
      </c>
      <c r="Q957" s="324">
        <f>VLOOKUP(H957,BM!$B$3:$Y$62,17,FALSE)</f>
        <v>0.9</v>
      </c>
      <c r="R957" s="271" t="s">
        <v>112</v>
      </c>
      <c r="S957" s="290">
        <f t="shared" si="600"/>
        <v>4.4113679999999995</v>
      </c>
      <c r="T957" s="275">
        <v>1</v>
      </c>
      <c r="U957" s="290">
        <f t="shared" si="571"/>
        <v>5.41</v>
      </c>
      <c r="V957" s="276" t="s">
        <v>48</v>
      </c>
    </row>
    <row r="958" spans="1:22" s="172" customFormat="1" ht="20.25" customHeight="1">
      <c r="A958" s="263" t="str">
        <f t="shared" si="568"/>
        <v/>
      </c>
      <c r="B958" s="263"/>
      <c r="C958" s="264">
        <f t="shared" si="535"/>
        <v>957</v>
      </c>
      <c r="D958" s="277" t="s">
        <v>1524</v>
      </c>
      <c r="E958" s="293">
        <f t="shared" si="604"/>
        <v>956</v>
      </c>
      <c r="F958" s="267" t="s">
        <v>61</v>
      </c>
      <c r="G958" s="267"/>
      <c r="H958" s="316">
        <v>18</v>
      </c>
      <c r="I958" s="316"/>
      <c r="J958" s="317">
        <f>J957</f>
        <v>1560</v>
      </c>
      <c r="K958" s="317" t="str">
        <f>K957</f>
        <v>mm id</v>
      </c>
      <c r="L958" s="367" t="str">
        <f t="shared" si="605"/>
        <v>1560 mm id</v>
      </c>
      <c r="M958" s="319">
        <v>1</v>
      </c>
      <c r="N958" s="271" t="s">
        <v>81</v>
      </c>
      <c r="O958" s="297">
        <f t="shared" si="606"/>
        <v>4.9015199999999997</v>
      </c>
      <c r="P958" s="271" t="s">
        <v>139</v>
      </c>
      <c r="Q958" s="324">
        <f>VLOOKUP(H958,BM!$B$3:$Y$62,20,FALSE)</f>
        <v>0.5</v>
      </c>
      <c r="R958" s="271" t="s">
        <v>112</v>
      </c>
      <c r="S958" s="290">
        <f t="shared" si="600"/>
        <v>2.4507599999999998</v>
      </c>
      <c r="T958" s="275">
        <v>1</v>
      </c>
      <c r="U958" s="290">
        <f t="shared" si="571"/>
        <v>3.45</v>
      </c>
      <c r="V958" s="276" t="s">
        <v>48</v>
      </c>
    </row>
    <row r="959" spans="1:22" s="172" customFormat="1" ht="20.25" customHeight="1">
      <c r="A959" s="263">
        <f t="shared" si="568"/>
        <v>958</v>
      </c>
      <c r="B959" s="263" t="s">
        <v>1263</v>
      </c>
      <c r="C959" s="264">
        <f t="shared" si="535"/>
        <v>958</v>
      </c>
      <c r="D959" s="265" t="s">
        <v>1525</v>
      </c>
      <c r="E959" s="279">
        <f>C953</f>
        <v>952</v>
      </c>
      <c r="F959" s="267"/>
      <c r="G959" s="267"/>
      <c r="H959" s="268"/>
      <c r="I959" s="268"/>
      <c r="J959" s="269"/>
      <c r="K959" s="269"/>
      <c r="L959" s="269"/>
      <c r="M959" s="319"/>
      <c r="N959" s="271"/>
      <c r="O959" s="280"/>
      <c r="P959" s="271"/>
      <c r="Q959" s="281"/>
      <c r="R959" s="271"/>
      <c r="S959" s="312"/>
      <c r="T959" s="282"/>
      <c r="U959" s="312"/>
      <c r="V959" s="276"/>
    </row>
    <row r="960" spans="1:22" s="172" customFormat="1" ht="20.25" customHeight="1">
      <c r="A960" s="263" t="str">
        <f t="shared" si="568"/>
        <v/>
      </c>
      <c r="B960" s="263"/>
      <c r="C960" s="264">
        <f t="shared" si="535"/>
        <v>959</v>
      </c>
      <c r="D960" s="277" t="s">
        <v>1526</v>
      </c>
      <c r="E960" s="293"/>
      <c r="F960" s="267" t="s">
        <v>299</v>
      </c>
      <c r="G960" s="267"/>
      <c r="H960" s="316">
        <v>18</v>
      </c>
      <c r="I960" s="316"/>
      <c r="J960" s="317">
        <f>J958</f>
        <v>1560</v>
      </c>
      <c r="K960" s="317" t="str">
        <f>K958</f>
        <v>mm id</v>
      </c>
      <c r="L960" s="367" t="str">
        <f t="shared" ref="L960:L961" si="607">J960&amp;" "&amp;K960</f>
        <v>1560 mm id</v>
      </c>
      <c r="M960" s="319">
        <v>1</v>
      </c>
      <c r="N960" s="271" t="s">
        <v>81</v>
      </c>
      <c r="O960" s="297">
        <f t="shared" ref="O960:O961" si="608">LEFT(L960,SEARCH(" ",L960,1)-1)*3.142*M960*0.001</f>
        <v>4.9015199999999997</v>
      </c>
      <c r="P960" s="271" t="s">
        <v>139</v>
      </c>
      <c r="Q960" s="324">
        <f>VLOOKUP(H960,BM!$B$3:$Y$62,10,FALSE)</f>
        <v>1</v>
      </c>
      <c r="R960" s="271" t="s">
        <v>112</v>
      </c>
      <c r="S960" s="290">
        <f t="shared" ref="S960:S961" si="609">O960*Q960</f>
        <v>4.9015199999999997</v>
      </c>
      <c r="T960" s="275">
        <v>1</v>
      </c>
      <c r="U960" s="290">
        <f t="shared" si="571"/>
        <v>5.9</v>
      </c>
      <c r="V960" s="276" t="s">
        <v>48</v>
      </c>
    </row>
    <row r="961" spans="1:22" s="172" customFormat="1" ht="20.25" customHeight="1">
      <c r="A961" s="263" t="str">
        <f t="shared" si="568"/>
        <v/>
      </c>
      <c r="B961" s="263"/>
      <c r="C961" s="264">
        <f t="shared" si="535"/>
        <v>960</v>
      </c>
      <c r="D961" s="277" t="s">
        <v>1527</v>
      </c>
      <c r="E961" s="293">
        <f t="shared" ref="E961" si="610">C960</f>
        <v>959</v>
      </c>
      <c r="F961" s="267" t="s">
        <v>44</v>
      </c>
      <c r="G961" s="267"/>
      <c r="H961" s="316">
        <v>18</v>
      </c>
      <c r="I961" s="316"/>
      <c r="J961" s="317">
        <f>J958</f>
        <v>1560</v>
      </c>
      <c r="K961" s="317" t="str">
        <f>K958</f>
        <v>mm id</v>
      </c>
      <c r="L961" s="367" t="str">
        <f t="shared" si="607"/>
        <v>1560 mm id</v>
      </c>
      <c r="M961" s="319">
        <v>1</v>
      </c>
      <c r="N961" s="271" t="s">
        <v>81</v>
      </c>
      <c r="O961" s="297">
        <f t="shared" si="608"/>
        <v>4.9015199999999997</v>
      </c>
      <c r="P961" s="271" t="s">
        <v>139</v>
      </c>
      <c r="Q961" s="273">
        <v>1</v>
      </c>
      <c r="R961" s="271" t="s">
        <v>112</v>
      </c>
      <c r="S961" s="290">
        <f t="shared" si="609"/>
        <v>4.9015199999999997</v>
      </c>
      <c r="T961" s="275">
        <v>1</v>
      </c>
      <c r="U961" s="290">
        <f t="shared" si="571"/>
        <v>5.9</v>
      </c>
      <c r="V961" s="276" t="s">
        <v>48</v>
      </c>
    </row>
    <row r="962" spans="1:22" s="172" customFormat="1" ht="20.25" customHeight="1">
      <c r="A962" s="263">
        <f t="shared" si="568"/>
        <v>961</v>
      </c>
      <c r="B962" s="263" t="s">
        <v>1263</v>
      </c>
      <c r="C962" s="264">
        <f t="shared" si="535"/>
        <v>961</v>
      </c>
      <c r="D962" s="265" t="s">
        <v>1528</v>
      </c>
      <c r="E962" s="279">
        <f>C959</f>
        <v>958</v>
      </c>
      <c r="F962" s="267"/>
      <c r="G962" s="267"/>
      <c r="H962" s="268"/>
      <c r="I962" s="268"/>
      <c r="J962" s="269"/>
      <c r="K962" s="269"/>
      <c r="L962" s="269"/>
      <c r="M962" s="319"/>
      <c r="N962" s="271"/>
      <c r="O962" s="280"/>
      <c r="P962" s="271"/>
      <c r="Q962" s="281"/>
      <c r="R962" s="271"/>
      <c r="S962" s="312"/>
      <c r="T962" s="282"/>
      <c r="U962" s="312"/>
      <c r="V962" s="276"/>
    </row>
    <row r="963" spans="1:22" s="172" customFormat="1" ht="20.25" customHeight="1">
      <c r="A963" s="263" t="str">
        <f t="shared" si="568"/>
        <v/>
      </c>
      <c r="B963" s="263"/>
      <c r="C963" s="264">
        <f t="shared" si="535"/>
        <v>962</v>
      </c>
      <c r="D963" s="277" t="s">
        <v>1529</v>
      </c>
      <c r="E963" s="293"/>
      <c r="F963" s="267" t="s">
        <v>44</v>
      </c>
      <c r="G963" s="267"/>
      <c r="H963" s="316">
        <v>18</v>
      </c>
      <c r="I963" s="316"/>
      <c r="J963" s="317">
        <f>J961</f>
        <v>1560</v>
      </c>
      <c r="K963" s="317" t="str">
        <f>K961</f>
        <v>mm id</v>
      </c>
      <c r="L963" s="367" t="str">
        <f t="shared" ref="L963:L967" si="611">J963&amp;" "&amp;K963</f>
        <v>1560 mm id</v>
      </c>
      <c r="M963" s="319">
        <v>1</v>
      </c>
      <c r="N963" s="271" t="s">
        <v>81</v>
      </c>
      <c r="O963" s="272">
        <v>1</v>
      </c>
      <c r="P963" s="271" t="s">
        <v>139</v>
      </c>
      <c r="Q963" s="273">
        <v>1</v>
      </c>
      <c r="R963" s="271" t="s">
        <v>112</v>
      </c>
      <c r="S963" s="290">
        <f t="shared" ref="S963:S967" si="612">O963*Q963</f>
        <v>1</v>
      </c>
      <c r="T963" s="275">
        <v>1</v>
      </c>
      <c r="U963" s="290">
        <f t="shared" si="571"/>
        <v>2</v>
      </c>
      <c r="V963" s="276" t="s">
        <v>48</v>
      </c>
    </row>
    <row r="964" spans="1:22" s="172" customFormat="1" ht="20.25" customHeight="1">
      <c r="A964" s="263" t="str">
        <f t="shared" si="568"/>
        <v/>
      </c>
      <c r="B964" s="263"/>
      <c r="C964" s="264">
        <f t="shared" si="535"/>
        <v>963</v>
      </c>
      <c r="D964" s="277" t="s">
        <v>1530</v>
      </c>
      <c r="E964" s="293">
        <f t="shared" ref="E964:E967" si="613">C963</f>
        <v>962</v>
      </c>
      <c r="F964" s="267" t="s">
        <v>115</v>
      </c>
      <c r="G964" s="267"/>
      <c r="H964" s="308">
        <f>12</f>
        <v>12</v>
      </c>
      <c r="I964" s="308"/>
      <c r="J964" s="317">
        <f>J963</f>
        <v>1560</v>
      </c>
      <c r="K964" s="317" t="str">
        <f>K963</f>
        <v>mm id</v>
      </c>
      <c r="L964" s="367" t="str">
        <f t="shared" si="611"/>
        <v>1560 mm id</v>
      </c>
      <c r="M964" s="319">
        <v>1</v>
      </c>
      <c r="N964" s="271" t="s">
        <v>81</v>
      </c>
      <c r="O964" s="297">
        <f t="shared" ref="O964:O967" si="614">LEFT(L964,SEARCH(" ",L964,1)-1)*3.142*M964*0.001</f>
        <v>4.9015199999999997</v>
      </c>
      <c r="P964" s="271" t="s">
        <v>139</v>
      </c>
      <c r="Q964" s="324">
        <f>VLOOKUP(H964,BM!$B$3:$Y$62,17,FALSE)</f>
        <v>2.5</v>
      </c>
      <c r="R964" s="271" t="s">
        <v>112</v>
      </c>
      <c r="S964" s="290">
        <f t="shared" si="612"/>
        <v>12.253799999999998</v>
      </c>
      <c r="T964" s="275">
        <v>1</v>
      </c>
      <c r="U964" s="290">
        <f t="shared" si="571"/>
        <v>13.25</v>
      </c>
      <c r="V964" s="276" t="s">
        <v>48</v>
      </c>
    </row>
    <row r="965" spans="1:22" s="172" customFormat="1" ht="20.25" customHeight="1">
      <c r="A965" s="263" t="str">
        <f t="shared" si="568"/>
        <v/>
      </c>
      <c r="B965" s="263"/>
      <c r="C965" s="264">
        <f t="shared" ref="C965:C1028" si="615">C964+1</f>
        <v>964</v>
      </c>
      <c r="D965" s="277" t="s">
        <v>1531</v>
      </c>
      <c r="E965" s="293">
        <f t="shared" si="613"/>
        <v>963</v>
      </c>
      <c r="F965" s="267" t="s">
        <v>61</v>
      </c>
      <c r="G965" s="267"/>
      <c r="H965" s="308">
        <f>18</f>
        <v>18</v>
      </c>
      <c r="I965" s="308"/>
      <c r="J965" s="317">
        <f>J964</f>
        <v>1560</v>
      </c>
      <c r="K965" s="317" t="str">
        <f>K964</f>
        <v>mm id</v>
      </c>
      <c r="L965" s="367" t="str">
        <f t="shared" si="611"/>
        <v>1560 mm id</v>
      </c>
      <c r="M965" s="319">
        <v>1</v>
      </c>
      <c r="N965" s="271" t="s">
        <v>81</v>
      </c>
      <c r="O965" s="297">
        <f t="shared" si="614"/>
        <v>4.9015199999999997</v>
      </c>
      <c r="P965" s="271" t="s">
        <v>139</v>
      </c>
      <c r="Q965" s="324">
        <f>VLOOKUP(H965,BM!$B$3:$Y$62,18,FALSE)</f>
        <v>1</v>
      </c>
      <c r="R965" s="271" t="s">
        <v>112</v>
      </c>
      <c r="S965" s="290">
        <f t="shared" si="612"/>
        <v>4.9015199999999997</v>
      </c>
      <c r="T965" s="275">
        <v>1</v>
      </c>
      <c r="U965" s="290">
        <f t="shared" si="571"/>
        <v>5.9</v>
      </c>
      <c r="V965" s="276" t="s">
        <v>48</v>
      </c>
    </row>
    <row r="966" spans="1:22" s="172" customFormat="1" ht="20.25" customHeight="1">
      <c r="A966" s="263" t="str">
        <f t="shared" si="568"/>
        <v/>
      </c>
      <c r="B966" s="263"/>
      <c r="C966" s="264">
        <f t="shared" si="615"/>
        <v>965</v>
      </c>
      <c r="D966" s="277" t="s">
        <v>1532</v>
      </c>
      <c r="E966" s="293">
        <f t="shared" si="613"/>
        <v>964</v>
      </c>
      <c r="F966" s="267" t="s">
        <v>115</v>
      </c>
      <c r="G966" s="267"/>
      <c r="H966" s="316">
        <v>6</v>
      </c>
      <c r="I966" s="316"/>
      <c r="J966" s="317">
        <f>J965</f>
        <v>1560</v>
      </c>
      <c r="K966" s="317" t="str">
        <f>K965</f>
        <v>mm id</v>
      </c>
      <c r="L966" s="367" t="str">
        <f t="shared" si="611"/>
        <v>1560 mm id</v>
      </c>
      <c r="M966" s="319">
        <v>1</v>
      </c>
      <c r="N966" s="271" t="s">
        <v>81</v>
      </c>
      <c r="O966" s="297">
        <f t="shared" si="614"/>
        <v>4.9015199999999997</v>
      </c>
      <c r="P966" s="271" t="s">
        <v>139</v>
      </c>
      <c r="Q966" s="324">
        <f>VLOOKUP(H966,BM!$B$3:$Y$62,17,FALSE)</f>
        <v>0.9</v>
      </c>
      <c r="R966" s="271" t="s">
        <v>112</v>
      </c>
      <c r="S966" s="290">
        <f t="shared" si="612"/>
        <v>4.4113679999999995</v>
      </c>
      <c r="T966" s="275">
        <v>1</v>
      </c>
      <c r="U966" s="290">
        <f t="shared" si="571"/>
        <v>5.41</v>
      </c>
      <c r="V966" s="276" t="s">
        <v>48</v>
      </c>
    </row>
    <row r="967" spans="1:22" s="172" customFormat="1" ht="20.25" customHeight="1">
      <c r="A967" s="263" t="str">
        <f t="shared" si="568"/>
        <v/>
      </c>
      <c r="B967" s="263"/>
      <c r="C967" s="264">
        <f t="shared" si="615"/>
        <v>966</v>
      </c>
      <c r="D967" s="277" t="s">
        <v>1533</v>
      </c>
      <c r="E967" s="293">
        <f t="shared" si="613"/>
        <v>965</v>
      </c>
      <c r="F967" s="267" t="s">
        <v>61</v>
      </c>
      <c r="G967" s="267"/>
      <c r="H967" s="316">
        <v>18</v>
      </c>
      <c r="I967" s="316"/>
      <c r="J967" s="317">
        <f>J966</f>
        <v>1560</v>
      </c>
      <c r="K967" s="317" t="str">
        <f>K966</f>
        <v>mm id</v>
      </c>
      <c r="L967" s="367" t="str">
        <f t="shared" si="611"/>
        <v>1560 mm id</v>
      </c>
      <c r="M967" s="319">
        <v>1</v>
      </c>
      <c r="N967" s="271" t="s">
        <v>81</v>
      </c>
      <c r="O967" s="297">
        <f t="shared" si="614"/>
        <v>4.9015199999999997</v>
      </c>
      <c r="P967" s="271" t="s">
        <v>139</v>
      </c>
      <c r="Q967" s="324">
        <f>VLOOKUP(H967,BM!$B$3:$Y$62,20,FALSE)</f>
        <v>0.5</v>
      </c>
      <c r="R967" s="271" t="s">
        <v>112</v>
      </c>
      <c r="S967" s="290">
        <f t="shared" si="612"/>
        <v>2.4507599999999998</v>
      </c>
      <c r="T967" s="275">
        <v>1</v>
      </c>
      <c r="U967" s="290">
        <f t="shared" si="571"/>
        <v>3.45</v>
      </c>
      <c r="V967" s="276" t="s">
        <v>48</v>
      </c>
    </row>
    <row r="968" spans="1:22" s="172" customFormat="1" ht="20.25" customHeight="1">
      <c r="A968" s="263">
        <f t="shared" si="568"/>
        <v>967</v>
      </c>
      <c r="B968" s="263" t="s">
        <v>1263</v>
      </c>
      <c r="C968" s="264">
        <f t="shared" si="615"/>
        <v>967</v>
      </c>
      <c r="D968" s="265" t="s">
        <v>1534</v>
      </c>
      <c r="E968" s="279">
        <f>C962</f>
        <v>961</v>
      </c>
      <c r="F968" s="267"/>
      <c r="G968" s="267"/>
      <c r="H968" s="268"/>
      <c r="I968" s="268"/>
      <c r="J968" s="269"/>
      <c r="K968" s="269"/>
      <c r="L968" s="269"/>
      <c r="M968" s="319"/>
      <c r="N968" s="271"/>
      <c r="O968" s="280"/>
      <c r="P968" s="271"/>
      <c r="Q968" s="281"/>
      <c r="R968" s="271"/>
      <c r="S968" s="312"/>
      <c r="T968" s="282"/>
      <c r="U968" s="312"/>
      <c r="V968" s="276"/>
    </row>
    <row r="969" spans="1:22" s="172" customFormat="1" ht="20.25" customHeight="1">
      <c r="A969" s="263" t="str">
        <f t="shared" si="568"/>
        <v/>
      </c>
      <c r="B969" s="263"/>
      <c r="C969" s="264">
        <f t="shared" si="615"/>
        <v>968</v>
      </c>
      <c r="D969" s="277" t="s">
        <v>1535</v>
      </c>
      <c r="E969" s="293"/>
      <c r="F969" s="267" t="s">
        <v>348</v>
      </c>
      <c r="G969" s="267"/>
      <c r="H969" s="316">
        <v>18</v>
      </c>
      <c r="I969" s="316"/>
      <c r="J969" s="317">
        <f>J967</f>
        <v>1560</v>
      </c>
      <c r="K969" s="317" t="str">
        <f>K967</f>
        <v>mm id</v>
      </c>
      <c r="L969" s="367" t="str">
        <f t="shared" ref="L969" si="616">J969&amp;" "&amp;K969</f>
        <v>1560 mm id</v>
      </c>
      <c r="M969" s="319">
        <v>1</v>
      </c>
      <c r="N969" s="296" t="s">
        <v>81</v>
      </c>
      <c r="O969" s="272">
        <v>1</v>
      </c>
      <c r="P969" s="296" t="s">
        <v>81</v>
      </c>
      <c r="Q969" s="273">
        <v>4</v>
      </c>
      <c r="R969" s="271" t="s">
        <v>112</v>
      </c>
      <c r="S969" s="290">
        <f t="shared" ref="S969:S971" si="617">O969*Q969</f>
        <v>4</v>
      </c>
      <c r="T969" s="275">
        <v>1</v>
      </c>
      <c r="U969" s="290">
        <f t="shared" si="571"/>
        <v>5</v>
      </c>
      <c r="V969" s="276" t="s">
        <v>48</v>
      </c>
    </row>
    <row r="970" spans="1:22" s="172" customFormat="1" ht="20.25" customHeight="1">
      <c r="A970" s="263" t="str">
        <f t="shared" si="568"/>
        <v/>
      </c>
      <c r="B970" s="263"/>
      <c r="C970" s="264">
        <f t="shared" si="615"/>
        <v>969</v>
      </c>
      <c r="D970" s="277" t="s">
        <v>1536</v>
      </c>
      <c r="E970" s="293">
        <f t="shared" ref="E970:E971" si="618">C969</f>
        <v>968</v>
      </c>
      <c r="F970" s="267" t="s">
        <v>52</v>
      </c>
      <c r="G970" s="267"/>
      <c r="H970" s="316">
        <v>18</v>
      </c>
      <c r="I970" s="316"/>
      <c r="J970" s="317">
        <f>J969</f>
        <v>1560</v>
      </c>
      <c r="K970" s="317" t="str">
        <f>K969</f>
        <v>mm id</v>
      </c>
      <c r="L970" s="367" t="str">
        <f t="shared" ref="L970:L971" si="619">J970&amp;" "&amp;K970</f>
        <v>1560 mm id</v>
      </c>
      <c r="M970" s="319">
        <v>1</v>
      </c>
      <c r="N970" s="296" t="s">
        <v>81</v>
      </c>
      <c r="O970" s="297">
        <f t="shared" ref="O970:O971" si="620">LEFT(L970,SEARCH(" ",L970,1)-1)*3.142*M970*0.001</f>
        <v>4.9015199999999997</v>
      </c>
      <c r="P970" s="271" t="s">
        <v>139</v>
      </c>
      <c r="Q970" s="324">
        <f>VLOOKUP(H970,BM!$B$3:$Y$62,5,FALSE)</f>
        <v>0.5</v>
      </c>
      <c r="R970" s="271" t="s">
        <v>112</v>
      </c>
      <c r="S970" s="290">
        <f t="shared" si="617"/>
        <v>2.4507599999999998</v>
      </c>
      <c r="T970" s="275">
        <v>1</v>
      </c>
      <c r="U970" s="290">
        <f t="shared" si="571"/>
        <v>3.45</v>
      </c>
      <c r="V970" s="276" t="s">
        <v>48</v>
      </c>
    </row>
    <row r="971" spans="1:22" s="172" customFormat="1" ht="20.25" customHeight="1">
      <c r="A971" s="263" t="str">
        <f t="shared" si="568"/>
        <v/>
      </c>
      <c r="B971" s="263"/>
      <c r="C971" s="264">
        <f t="shared" si="615"/>
        <v>970</v>
      </c>
      <c r="D971" s="277" t="s">
        <v>1537</v>
      </c>
      <c r="E971" s="293">
        <f t="shared" si="618"/>
        <v>969</v>
      </c>
      <c r="F971" s="267" t="s">
        <v>121</v>
      </c>
      <c r="G971" s="267"/>
      <c r="H971" s="316">
        <v>18</v>
      </c>
      <c r="I971" s="316"/>
      <c r="J971" s="317">
        <f>J970</f>
        <v>1560</v>
      </c>
      <c r="K971" s="317" t="str">
        <f>K970</f>
        <v>mm id</v>
      </c>
      <c r="L971" s="367" t="str">
        <f t="shared" si="619"/>
        <v>1560 mm id</v>
      </c>
      <c r="M971" s="319">
        <v>1</v>
      </c>
      <c r="N971" s="296" t="s">
        <v>81</v>
      </c>
      <c r="O971" s="297">
        <f t="shared" si="620"/>
        <v>4.9015199999999997</v>
      </c>
      <c r="P971" s="271" t="s">
        <v>139</v>
      </c>
      <c r="Q971" s="324">
        <f>VLOOKUP(H971,BM!$B$3:$Y$62,5,FALSE)</f>
        <v>0.5</v>
      </c>
      <c r="R971" s="271" t="s">
        <v>112</v>
      </c>
      <c r="S971" s="290">
        <f t="shared" si="617"/>
        <v>2.4507599999999998</v>
      </c>
      <c r="T971" s="275">
        <v>1</v>
      </c>
      <c r="U971" s="290">
        <f t="shared" si="571"/>
        <v>3.45</v>
      </c>
      <c r="V971" s="276" t="s">
        <v>48</v>
      </c>
    </row>
    <row r="972" spans="1:22" s="172" customFormat="1" ht="20.25" customHeight="1">
      <c r="A972" s="263">
        <f t="shared" si="568"/>
        <v>971</v>
      </c>
      <c r="B972" s="263" t="s">
        <v>1263</v>
      </c>
      <c r="C972" s="264">
        <f t="shared" si="615"/>
        <v>971</v>
      </c>
      <c r="D972" s="265" t="s">
        <v>1538</v>
      </c>
      <c r="E972" s="279">
        <f>C968</f>
        <v>967</v>
      </c>
      <c r="F972" s="267"/>
      <c r="G972" s="267"/>
      <c r="H972" s="268"/>
      <c r="I972" s="268"/>
      <c r="J972" s="269"/>
      <c r="K972" s="269"/>
      <c r="L972" s="269"/>
      <c r="M972" s="319"/>
      <c r="N972" s="271"/>
      <c r="O972" s="280"/>
      <c r="P972" s="271"/>
      <c r="Q972" s="281"/>
      <c r="R972" s="271"/>
      <c r="S972" s="312"/>
      <c r="T972" s="282"/>
      <c r="U972" s="312"/>
      <c r="V972" s="276"/>
    </row>
    <row r="973" spans="1:22" s="172" customFormat="1" ht="20.25" customHeight="1">
      <c r="A973" s="263" t="str">
        <f t="shared" si="568"/>
        <v/>
      </c>
      <c r="B973" s="263"/>
      <c r="C973" s="264">
        <f t="shared" si="615"/>
        <v>972</v>
      </c>
      <c r="D973" s="277" t="s">
        <v>1539</v>
      </c>
      <c r="E973" s="293"/>
      <c r="F973" s="267" t="s">
        <v>299</v>
      </c>
      <c r="G973" s="267"/>
      <c r="H973" s="316">
        <v>18</v>
      </c>
      <c r="I973" s="316"/>
      <c r="J973" s="317">
        <f>J971</f>
        <v>1560</v>
      </c>
      <c r="K973" s="317" t="str">
        <f>K971</f>
        <v>mm id</v>
      </c>
      <c r="L973" s="367" t="str">
        <f t="shared" ref="L973:L974" si="621">J973&amp;" "&amp;K973</f>
        <v>1560 mm id</v>
      </c>
      <c r="M973" s="319">
        <v>1</v>
      </c>
      <c r="N973" s="271" t="s">
        <v>81</v>
      </c>
      <c r="O973" s="297">
        <f t="shared" ref="O973:O974" si="622">LEFT(L973,SEARCH(" ",L973,1)-1)*3.142*M973*0.001</f>
        <v>4.9015199999999997</v>
      </c>
      <c r="P973" s="271" t="s">
        <v>139</v>
      </c>
      <c r="Q973" s="324">
        <f>VLOOKUP(H973,BM!$B$3:$Y$62,10,FALSE)</f>
        <v>1</v>
      </c>
      <c r="R973" s="271" t="s">
        <v>112</v>
      </c>
      <c r="S973" s="290">
        <f t="shared" ref="S973:S974" si="623">O973*Q973</f>
        <v>4.9015199999999997</v>
      </c>
      <c r="T973" s="275">
        <v>1</v>
      </c>
      <c r="U973" s="290">
        <f t="shared" si="571"/>
        <v>5.9</v>
      </c>
      <c r="V973" s="276" t="s">
        <v>48</v>
      </c>
    </row>
    <row r="974" spans="1:22" s="172" customFormat="1" ht="20.25" customHeight="1">
      <c r="A974" s="263" t="str">
        <f t="shared" si="568"/>
        <v/>
      </c>
      <c r="B974" s="263"/>
      <c r="C974" s="264">
        <f t="shared" si="615"/>
        <v>973</v>
      </c>
      <c r="D974" s="277" t="s">
        <v>1540</v>
      </c>
      <c r="E974" s="293">
        <f t="shared" ref="E974" si="624">C973</f>
        <v>972</v>
      </c>
      <c r="F974" s="267" t="s">
        <v>44</v>
      </c>
      <c r="G974" s="267"/>
      <c r="H974" s="316">
        <v>18</v>
      </c>
      <c r="I974" s="316"/>
      <c r="J974" s="317">
        <f>J971</f>
        <v>1560</v>
      </c>
      <c r="K974" s="317" t="str">
        <f>K971</f>
        <v>mm id</v>
      </c>
      <c r="L974" s="367" t="str">
        <f t="shared" si="621"/>
        <v>1560 mm id</v>
      </c>
      <c r="M974" s="319">
        <v>1</v>
      </c>
      <c r="N974" s="271" t="s">
        <v>81</v>
      </c>
      <c r="O974" s="297">
        <f t="shared" si="622"/>
        <v>4.9015199999999997</v>
      </c>
      <c r="P974" s="271" t="s">
        <v>139</v>
      </c>
      <c r="Q974" s="273">
        <v>1</v>
      </c>
      <c r="R974" s="271" t="s">
        <v>112</v>
      </c>
      <c r="S974" s="290">
        <f t="shared" si="623"/>
        <v>4.9015199999999997</v>
      </c>
      <c r="T974" s="275">
        <v>1</v>
      </c>
      <c r="U974" s="290">
        <f t="shared" si="571"/>
        <v>5.9</v>
      </c>
      <c r="V974" s="276" t="s">
        <v>48</v>
      </c>
    </row>
    <row r="975" spans="1:22" s="172" customFormat="1" ht="20.25" customHeight="1">
      <c r="A975" s="263">
        <f t="shared" si="568"/>
        <v>974</v>
      </c>
      <c r="B975" s="263" t="s">
        <v>1263</v>
      </c>
      <c r="C975" s="264">
        <f t="shared" si="615"/>
        <v>974</v>
      </c>
      <c r="D975" s="265" t="s">
        <v>1541</v>
      </c>
      <c r="E975" s="279">
        <f>C972</f>
        <v>971</v>
      </c>
      <c r="F975" s="267"/>
      <c r="G975" s="267"/>
      <c r="H975" s="268"/>
      <c r="I975" s="268"/>
      <c r="J975" s="269"/>
      <c r="K975" s="269"/>
      <c r="L975" s="269"/>
      <c r="M975" s="319"/>
      <c r="N975" s="271"/>
      <c r="O975" s="280"/>
      <c r="P975" s="271"/>
      <c r="Q975" s="281"/>
      <c r="R975" s="271"/>
      <c r="S975" s="312"/>
      <c r="T975" s="282"/>
      <c r="U975" s="312"/>
      <c r="V975" s="276"/>
    </row>
    <row r="976" spans="1:22" s="172" customFormat="1" ht="20.25" customHeight="1">
      <c r="A976" s="263" t="str">
        <f t="shared" si="568"/>
        <v/>
      </c>
      <c r="B976" s="263"/>
      <c r="C976" s="264">
        <f t="shared" si="615"/>
        <v>975</v>
      </c>
      <c r="D976" s="277" t="s">
        <v>1511</v>
      </c>
      <c r="E976" s="293">
        <f t="shared" ref="E976:E980" si="625">C975</f>
        <v>974</v>
      </c>
      <c r="F976" s="267" t="s">
        <v>44</v>
      </c>
      <c r="G976" s="267"/>
      <c r="H976" s="316">
        <v>12</v>
      </c>
      <c r="I976" s="316"/>
      <c r="J976" s="317">
        <f>J974</f>
        <v>1560</v>
      </c>
      <c r="K976" s="317" t="str">
        <f>K974</f>
        <v>mm id</v>
      </c>
      <c r="L976" s="367" t="str">
        <f t="shared" ref="L976" si="626">J976&amp;" "&amp;K976</f>
        <v>1560 mm id</v>
      </c>
      <c r="M976" s="319">
        <v>1</v>
      </c>
      <c r="N976" s="271" t="s">
        <v>81</v>
      </c>
      <c r="O976" s="272">
        <v>1</v>
      </c>
      <c r="P976" s="271" t="s">
        <v>139</v>
      </c>
      <c r="Q976" s="273">
        <v>1</v>
      </c>
      <c r="R976" s="271" t="s">
        <v>112</v>
      </c>
      <c r="S976" s="290">
        <f t="shared" ref="S976:S980" si="627">O976*Q976</f>
        <v>1</v>
      </c>
      <c r="T976" s="275">
        <v>1</v>
      </c>
      <c r="U976" s="290">
        <f t="shared" si="571"/>
        <v>2</v>
      </c>
      <c r="V976" s="276" t="s">
        <v>48</v>
      </c>
    </row>
    <row r="977" spans="1:22" s="172" customFormat="1" ht="20.25" customHeight="1">
      <c r="A977" s="263" t="str">
        <f t="shared" si="568"/>
        <v/>
      </c>
      <c r="B977" s="263"/>
      <c r="C977" s="264">
        <f t="shared" si="615"/>
        <v>976</v>
      </c>
      <c r="D977" s="277" t="s">
        <v>1542</v>
      </c>
      <c r="E977" s="293"/>
      <c r="F977" s="267" t="s">
        <v>115</v>
      </c>
      <c r="G977" s="267"/>
      <c r="H977" s="316">
        <v>12</v>
      </c>
      <c r="I977" s="316"/>
      <c r="J977" s="317">
        <f>J976</f>
        <v>1560</v>
      </c>
      <c r="K977" s="317" t="str">
        <f>K976</f>
        <v>mm id</v>
      </c>
      <c r="L977" s="367" t="str">
        <f t="shared" ref="L977" si="628">J977&amp;" "&amp;K977</f>
        <v>1560 mm id</v>
      </c>
      <c r="M977" s="319">
        <v>1</v>
      </c>
      <c r="N977" s="271" t="s">
        <v>81</v>
      </c>
      <c r="O977" s="297">
        <f t="shared" ref="O977:O980" si="629">LEFT(L977,SEARCH(" ",L977,1)-1)*3.142*M977*0.001</f>
        <v>4.9015199999999997</v>
      </c>
      <c r="P977" s="271" t="s">
        <v>139</v>
      </c>
      <c r="Q977" s="324">
        <f>VLOOKUP(H977,BM!$B$3:$Y$62,17,FALSE)</f>
        <v>2.5</v>
      </c>
      <c r="R977" s="271" t="s">
        <v>112</v>
      </c>
      <c r="S977" s="290">
        <f t="shared" si="627"/>
        <v>12.253799999999998</v>
      </c>
      <c r="T977" s="275">
        <v>1</v>
      </c>
      <c r="U977" s="290">
        <f t="shared" si="571"/>
        <v>13.25</v>
      </c>
      <c r="V977" s="276" t="s">
        <v>48</v>
      </c>
    </row>
    <row r="978" spans="1:22" s="172" customFormat="1" ht="20.25" customHeight="1">
      <c r="A978" s="263" t="str">
        <f t="shared" si="568"/>
        <v/>
      </c>
      <c r="B978" s="263"/>
      <c r="C978" s="264">
        <f t="shared" si="615"/>
        <v>977</v>
      </c>
      <c r="D978" s="277" t="s">
        <v>1543</v>
      </c>
      <c r="E978" s="293">
        <f t="shared" si="625"/>
        <v>976</v>
      </c>
      <c r="F978" s="267" t="s">
        <v>61</v>
      </c>
      <c r="G978" s="267"/>
      <c r="H978" s="316">
        <v>18</v>
      </c>
      <c r="I978" s="316"/>
      <c r="J978" s="317">
        <f>J977</f>
        <v>1560</v>
      </c>
      <c r="K978" s="317" t="str">
        <f>K977</f>
        <v>mm id</v>
      </c>
      <c r="L978" s="367" t="str">
        <f t="shared" ref="L978" si="630">J978&amp;" "&amp;K978</f>
        <v>1560 mm id</v>
      </c>
      <c r="M978" s="319">
        <v>1</v>
      </c>
      <c r="N978" s="271" t="s">
        <v>81</v>
      </c>
      <c r="O978" s="297">
        <f t="shared" si="629"/>
        <v>4.9015199999999997</v>
      </c>
      <c r="P978" s="271" t="s">
        <v>139</v>
      </c>
      <c r="Q978" s="324">
        <f>VLOOKUP(H978,BM!$B$3:$Y$62,18,FALSE)</f>
        <v>1</v>
      </c>
      <c r="R978" s="271" t="s">
        <v>112</v>
      </c>
      <c r="S978" s="290">
        <f t="shared" si="627"/>
        <v>4.9015199999999997</v>
      </c>
      <c r="T978" s="275">
        <v>1</v>
      </c>
      <c r="U978" s="290">
        <f t="shared" si="571"/>
        <v>5.9</v>
      </c>
      <c r="V978" s="276" t="s">
        <v>48</v>
      </c>
    </row>
    <row r="979" spans="1:22" s="172" customFormat="1" ht="20.25" customHeight="1">
      <c r="A979" s="263" t="str">
        <f t="shared" si="568"/>
        <v/>
      </c>
      <c r="B979" s="263"/>
      <c r="C979" s="264">
        <f t="shared" si="615"/>
        <v>978</v>
      </c>
      <c r="D979" s="277" t="s">
        <v>1544</v>
      </c>
      <c r="E979" s="293">
        <f t="shared" si="625"/>
        <v>977</v>
      </c>
      <c r="F979" s="267" t="s">
        <v>115</v>
      </c>
      <c r="G979" s="267"/>
      <c r="H979" s="316">
        <v>6</v>
      </c>
      <c r="I979" s="316"/>
      <c r="J979" s="317">
        <f>J978</f>
        <v>1560</v>
      </c>
      <c r="K979" s="317" t="str">
        <f>K978</f>
        <v>mm id</v>
      </c>
      <c r="L979" s="367" t="str">
        <f t="shared" ref="L979" si="631">J979&amp;" "&amp;K979</f>
        <v>1560 mm id</v>
      </c>
      <c r="M979" s="319">
        <v>1</v>
      </c>
      <c r="N979" s="271" t="s">
        <v>81</v>
      </c>
      <c r="O979" s="297">
        <f t="shared" si="629"/>
        <v>4.9015199999999997</v>
      </c>
      <c r="P979" s="271" t="s">
        <v>139</v>
      </c>
      <c r="Q979" s="324">
        <f>VLOOKUP(H979,BM!$B$3:$Y$62,17,FALSE)</f>
        <v>0.9</v>
      </c>
      <c r="R979" s="271" t="s">
        <v>112</v>
      </c>
      <c r="S979" s="290">
        <f t="shared" si="627"/>
        <v>4.4113679999999995</v>
      </c>
      <c r="T979" s="275">
        <v>1</v>
      </c>
      <c r="U979" s="290">
        <f t="shared" si="571"/>
        <v>5.41</v>
      </c>
      <c r="V979" s="276" t="s">
        <v>48</v>
      </c>
    </row>
    <row r="980" spans="1:22" s="172" customFormat="1" ht="20.25" customHeight="1">
      <c r="A980" s="263" t="str">
        <f t="shared" si="568"/>
        <v/>
      </c>
      <c r="B980" s="263"/>
      <c r="C980" s="264">
        <f t="shared" si="615"/>
        <v>979</v>
      </c>
      <c r="D980" s="277" t="s">
        <v>1545</v>
      </c>
      <c r="E980" s="293">
        <f t="shared" si="625"/>
        <v>978</v>
      </c>
      <c r="F980" s="267" t="s">
        <v>61</v>
      </c>
      <c r="G980" s="267"/>
      <c r="H980" s="316">
        <v>18</v>
      </c>
      <c r="I980" s="316"/>
      <c r="J980" s="317">
        <f>J979</f>
        <v>1560</v>
      </c>
      <c r="K980" s="317" t="str">
        <f>K979</f>
        <v>mm id</v>
      </c>
      <c r="L980" s="367" t="str">
        <f t="shared" ref="L980" si="632">J980&amp;" "&amp;K980</f>
        <v>1560 mm id</v>
      </c>
      <c r="M980" s="319">
        <v>1</v>
      </c>
      <c r="N980" s="271" t="s">
        <v>81</v>
      </c>
      <c r="O980" s="297">
        <f t="shared" si="629"/>
        <v>4.9015199999999997</v>
      </c>
      <c r="P980" s="271" t="s">
        <v>139</v>
      </c>
      <c r="Q980" s="324">
        <f>VLOOKUP(H980,BM!$B$3:$Y$62,20,FALSE)</f>
        <v>0.5</v>
      </c>
      <c r="R980" s="271" t="s">
        <v>112</v>
      </c>
      <c r="S980" s="290">
        <f t="shared" si="627"/>
        <v>2.4507599999999998</v>
      </c>
      <c r="T980" s="275">
        <v>1</v>
      </c>
      <c r="U980" s="290">
        <f t="shared" si="571"/>
        <v>3.45</v>
      </c>
      <c r="V980" s="276" t="s">
        <v>48</v>
      </c>
    </row>
    <row r="981" spans="1:22" s="172" customFormat="1" ht="20.25" customHeight="1">
      <c r="A981" s="263">
        <f t="shared" si="568"/>
        <v>980</v>
      </c>
      <c r="B981" s="263" t="s">
        <v>1263</v>
      </c>
      <c r="C981" s="264">
        <f t="shared" si="615"/>
        <v>980</v>
      </c>
      <c r="D981" s="265" t="s">
        <v>1546</v>
      </c>
      <c r="E981" s="279">
        <f>C975</f>
        <v>974</v>
      </c>
      <c r="F981" s="267"/>
      <c r="G981" s="267"/>
      <c r="H981" s="268"/>
      <c r="I981" s="268"/>
      <c r="J981" s="269"/>
      <c r="K981" s="269"/>
      <c r="L981" s="269"/>
      <c r="M981" s="319"/>
      <c r="N981" s="271"/>
      <c r="O981" s="280"/>
      <c r="P981" s="271"/>
      <c r="Q981" s="281"/>
      <c r="R981" s="271"/>
      <c r="S981" s="312"/>
      <c r="T981" s="282"/>
      <c r="U981" s="312"/>
      <c r="V981" s="276"/>
    </row>
    <row r="982" spans="1:22" s="172" customFormat="1" ht="20.25" customHeight="1">
      <c r="A982" s="263" t="str">
        <f t="shared" si="568"/>
        <v/>
      </c>
      <c r="B982" s="263"/>
      <c r="C982" s="264">
        <f t="shared" si="615"/>
        <v>981</v>
      </c>
      <c r="D982" s="277" t="s">
        <v>1547</v>
      </c>
      <c r="E982" s="293"/>
      <c r="F982" s="267" t="s">
        <v>299</v>
      </c>
      <c r="G982" s="267"/>
      <c r="H982" s="316">
        <v>18</v>
      </c>
      <c r="I982" s="316"/>
      <c r="J982" s="317">
        <f>J980</f>
        <v>1560</v>
      </c>
      <c r="K982" s="317" t="str">
        <f>K980</f>
        <v>mm id</v>
      </c>
      <c r="L982" s="367" t="str">
        <f t="shared" ref="L982" si="633">J982&amp;" "&amp;K982</f>
        <v>1560 mm id</v>
      </c>
      <c r="M982" s="319">
        <v>1</v>
      </c>
      <c r="N982" s="271" t="s">
        <v>81</v>
      </c>
      <c r="O982" s="297">
        <f t="shared" ref="O982:O983" si="634">LEFT(L982,SEARCH(" ",L982,1)-1)*3.142*M982*0.001</f>
        <v>4.9015199999999997</v>
      </c>
      <c r="P982" s="271" t="s">
        <v>139</v>
      </c>
      <c r="Q982" s="324">
        <f>VLOOKUP(H982,BM!$B$3:$Y$62,10,FALSE)</f>
        <v>1</v>
      </c>
      <c r="R982" s="271" t="s">
        <v>112</v>
      </c>
      <c r="S982" s="290">
        <f t="shared" ref="S982:S983" si="635">O982*Q982</f>
        <v>4.9015199999999997</v>
      </c>
      <c r="T982" s="275">
        <v>1</v>
      </c>
      <c r="U982" s="290">
        <f t="shared" si="571"/>
        <v>5.9</v>
      </c>
      <c r="V982" s="276" t="s">
        <v>48</v>
      </c>
    </row>
    <row r="983" spans="1:22" s="172" customFormat="1" ht="20.25" customHeight="1">
      <c r="A983" s="263" t="str">
        <f t="shared" si="568"/>
        <v/>
      </c>
      <c r="B983" s="263"/>
      <c r="C983" s="264">
        <f t="shared" si="615"/>
        <v>982</v>
      </c>
      <c r="D983" s="277" t="s">
        <v>1548</v>
      </c>
      <c r="E983" s="293">
        <f t="shared" ref="E983" si="636">C982</f>
        <v>981</v>
      </c>
      <c r="F983" s="267" t="s">
        <v>44</v>
      </c>
      <c r="G983" s="267"/>
      <c r="H983" s="316">
        <v>18</v>
      </c>
      <c r="I983" s="316"/>
      <c r="J983" s="317">
        <f>J982</f>
        <v>1560</v>
      </c>
      <c r="K983" s="317" t="str">
        <f>K982</f>
        <v>mm id</v>
      </c>
      <c r="L983" s="367" t="str">
        <f t="shared" ref="L983" si="637">J983&amp;" "&amp;K983</f>
        <v>1560 mm id</v>
      </c>
      <c r="M983" s="319">
        <v>1</v>
      </c>
      <c r="N983" s="271" t="s">
        <v>81</v>
      </c>
      <c r="O983" s="297">
        <f t="shared" si="634"/>
        <v>4.9015199999999997</v>
      </c>
      <c r="P983" s="271" t="s">
        <v>139</v>
      </c>
      <c r="Q983" s="273">
        <v>1</v>
      </c>
      <c r="R983" s="271" t="s">
        <v>112</v>
      </c>
      <c r="S983" s="290">
        <f t="shared" si="635"/>
        <v>4.9015199999999997</v>
      </c>
      <c r="T983" s="275">
        <v>1</v>
      </c>
      <c r="U983" s="290">
        <f t="shared" si="571"/>
        <v>5.9</v>
      </c>
      <c r="V983" s="276" t="s">
        <v>48</v>
      </c>
    </row>
    <row r="984" spans="1:22" s="172" customFormat="1" ht="20.25" customHeight="1">
      <c r="A984" s="263">
        <f t="shared" si="568"/>
        <v>983</v>
      </c>
      <c r="B984" s="263" t="s">
        <v>1263</v>
      </c>
      <c r="C984" s="264">
        <f t="shared" si="615"/>
        <v>983</v>
      </c>
      <c r="D984" s="265" t="s">
        <v>1549</v>
      </c>
      <c r="E984" s="279">
        <f>C981</f>
        <v>980</v>
      </c>
      <c r="F984" s="267"/>
      <c r="G984" s="267"/>
      <c r="H984" s="268"/>
      <c r="I984" s="268"/>
      <c r="J984" s="269"/>
      <c r="K984" s="269"/>
      <c r="L984" s="269"/>
      <c r="M984" s="319"/>
      <c r="N984" s="271"/>
      <c r="O984" s="280"/>
      <c r="P984" s="271"/>
      <c r="Q984" s="281"/>
      <c r="R984" s="271"/>
      <c r="S984" s="312"/>
      <c r="T984" s="282"/>
      <c r="U984" s="312"/>
      <c r="V984" s="276"/>
    </row>
    <row r="985" spans="1:22" s="172" customFormat="1" ht="20.25" customHeight="1">
      <c r="A985" s="263" t="str">
        <f t="shared" si="568"/>
        <v/>
      </c>
      <c r="B985" s="263"/>
      <c r="C985" s="264">
        <f t="shared" si="615"/>
        <v>984</v>
      </c>
      <c r="D985" s="277" t="s">
        <v>1550</v>
      </c>
      <c r="E985" s="293"/>
      <c r="F985" s="267" t="s">
        <v>44</v>
      </c>
      <c r="G985" s="267"/>
      <c r="H985" s="316">
        <v>12</v>
      </c>
      <c r="I985" s="316"/>
      <c r="J985" s="317">
        <f>J983</f>
        <v>1560</v>
      </c>
      <c r="K985" s="317" t="str">
        <f>K983</f>
        <v>mm id</v>
      </c>
      <c r="L985" s="367" t="str">
        <f t="shared" ref="L985" si="638">J985&amp;" "&amp;K985</f>
        <v>1560 mm id</v>
      </c>
      <c r="M985" s="319">
        <v>1</v>
      </c>
      <c r="N985" s="271" t="s">
        <v>81</v>
      </c>
      <c r="O985" s="272">
        <v>1</v>
      </c>
      <c r="P985" s="271" t="s">
        <v>249</v>
      </c>
      <c r="Q985" s="273">
        <v>1</v>
      </c>
      <c r="R985" s="271" t="s">
        <v>112</v>
      </c>
      <c r="S985" s="290">
        <f t="shared" ref="S985:S989" si="639">O985*Q985</f>
        <v>1</v>
      </c>
      <c r="T985" s="275">
        <v>1</v>
      </c>
      <c r="U985" s="290">
        <f t="shared" si="571"/>
        <v>2</v>
      </c>
      <c r="V985" s="276" t="s">
        <v>48</v>
      </c>
    </row>
    <row r="986" spans="1:22" s="172" customFormat="1" ht="20.25" customHeight="1">
      <c r="A986" s="263" t="str">
        <f t="shared" si="568"/>
        <v/>
      </c>
      <c r="B986" s="263"/>
      <c r="C986" s="264">
        <f t="shared" si="615"/>
        <v>985</v>
      </c>
      <c r="D986" s="277" t="s">
        <v>1551</v>
      </c>
      <c r="E986" s="293">
        <f t="shared" ref="E986:E989" si="640">C985</f>
        <v>984</v>
      </c>
      <c r="F986" s="267" t="s">
        <v>115</v>
      </c>
      <c r="G986" s="267"/>
      <c r="H986" s="316">
        <v>12</v>
      </c>
      <c r="I986" s="316"/>
      <c r="J986" s="317">
        <f>J985</f>
        <v>1560</v>
      </c>
      <c r="K986" s="317" t="str">
        <f>K985</f>
        <v>mm id</v>
      </c>
      <c r="L986" s="367" t="str">
        <f t="shared" ref="L986" si="641">J986&amp;" "&amp;K986</f>
        <v>1560 mm id</v>
      </c>
      <c r="M986" s="319">
        <v>1</v>
      </c>
      <c r="N986" s="271" t="s">
        <v>81</v>
      </c>
      <c r="O986" s="297">
        <f t="shared" ref="O986:O989" si="642">LEFT(L986,SEARCH(" ",L986,1)-1)*3.142*M986*0.001</f>
        <v>4.9015199999999997</v>
      </c>
      <c r="P986" s="271" t="s">
        <v>249</v>
      </c>
      <c r="Q986" s="324">
        <f>VLOOKUP(H986,BM!$B$3:$Y$62,17,FALSE)</f>
        <v>2.5</v>
      </c>
      <c r="R986" s="271" t="s">
        <v>112</v>
      </c>
      <c r="S986" s="290">
        <f t="shared" si="639"/>
        <v>12.253799999999998</v>
      </c>
      <c r="T986" s="275">
        <v>1</v>
      </c>
      <c r="U986" s="290">
        <f t="shared" si="571"/>
        <v>13.25</v>
      </c>
      <c r="V986" s="276" t="s">
        <v>48</v>
      </c>
    </row>
    <row r="987" spans="1:22" s="172" customFormat="1" ht="20.25" customHeight="1">
      <c r="A987" s="263" t="str">
        <f t="shared" si="568"/>
        <v/>
      </c>
      <c r="B987" s="263"/>
      <c r="C987" s="264">
        <f t="shared" si="615"/>
        <v>986</v>
      </c>
      <c r="D987" s="277" t="s">
        <v>1552</v>
      </c>
      <c r="E987" s="293">
        <f t="shared" si="640"/>
        <v>985</v>
      </c>
      <c r="F987" s="267" t="s">
        <v>61</v>
      </c>
      <c r="G987" s="267"/>
      <c r="H987" s="316">
        <v>18</v>
      </c>
      <c r="I987" s="316"/>
      <c r="J987" s="317">
        <f>J986</f>
        <v>1560</v>
      </c>
      <c r="K987" s="317" t="str">
        <f>K986</f>
        <v>mm id</v>
      </c>
      <c r="L987" s="367" t="str">
        <f t="shared" ref="L987" si="643">J987&amp;" "&amp;K987</f>
        <v>1560 mm id</v>
      </c>
      <c r="M987" s="319">
        <v>1</v>
      </c>
      <c r="N987" s="271" t="s">
        <v>81</v>
      </c>
      <c r="O987" s="297">
        <f t="shared" si="642"/>
        <v>4.9015199999999997</v>
      </c>
      <c r="P987" s="271" t="s">
        <v>249</v>
      </c>
      <c r="Q987" s="324">
        <f>VLOOKUP(H987,BM!$B$3:$Y$62,18,FALSE)</f>
        <v>1</v>
      </c>
      <c r="R987" s="271" t="s">
        <v>112</v>
      </c>
      <c r="S987" s="290">
        <f t="shared" si="639"/>
        <v>4.9015199999999997</v>
      </c>
      <c r="T987" s="275">
        <v>1</v>
      </c>
      <c r="U987" s="290">
        <f t="shared" si="571"/>
        <v>5.9</v>
      </c>
      <c r="V987" s="276" t="s">
        <v>48</v>
      </c>
    </row>
    <row r="988" spans="1:22" s="172" customFormat="1" ht="20.25" customHeight="1">
      <c r="A988" s="263" t="str">
        <f t="shared" ref="A988:A1051" si="644">IF(B988="Yes",C988,"")</f>
        <v/>
      </c>
      <c r="B988" s="263"/>
      <c r="C988" s="264">
        <f t="shared" si="615"/>
        <v>987</v>
      </c>
      <c r="D988" s="277" t="s">
        <v>1553</v>
      </c>
      <c r="E988" s="293">
        <f t="shared" si="640"/>
        <v>986</v>
      </c>
      <c r="F988" s="267" t="s">
        <v>115</v>
      </c>
      <c r="G988" s="267"/>
      <c r="H988" s="316">
        <v>6</v>
      </c>
      <c r="I988" s="316"/>
      <c r="J988" s="317">
        <f>J987</f>
        <v>1560</v>
      </c>
      <c r="K988" s="317" t="str">
        <f>K987</f>
        <v>mm id</v>
      </c>
      <c r="L988" s="367" t="str">
        <f t="shared" ref="L988" si="645">J988&amp;" "&amp;K988</f>
        <v>1560 mm id</v>
      </c>
      <c r="M988" s="319">
        <v>1</v>
      </c>
      <c r="N988" s="271" t="s">
        <v>81</v>
      </c>
      <c r="O988" s="297">
        <f t="shared" si="642"/>
        <v>4.9015199999999997</v>
      </c>
      <c r="P988" s="271" t="s">
        <v>249</v>
      </c>
      <c r="Q988" s="324">
        <f>VLOOKUP(H988,BM!$B$3:$Y$62,17,FALSE)</f>
        <v>0.9</v>
      </c>
      <c r="R988" s="271" t="s">
        <v>112</v>
      </c>
      <c r="S988" s="290">
        <f t="shared" si="639"/>
        <v>4.4113679999999995</v>
      </c>
      <c r="T988" s="275">
        <v>1</v>
      </c>
      <c r="U988" s="290">
        <f t="shared" si="571"/>
        <v>5.41</v>
      </c>
      <c r="V988" s="276" t="s">
        <v>48</v>
      </c>
    </row>
    <row r="989" spans="1:22" s="172" customFormat="1" ht="20.25" customHeight="1">
      <c r="A989" s="263" t="str">
        <f t="shared" si="644"/>
        <v/>
      </c>
      <c r="B989" s="263"/>
      <c r="C989" s="264">
        <f t="shared" si="615"/>
        <v>988</v>
      </c>
      <c r="D989" s="277" t="s">
        <v>1554</v>
      </c>
      <c r="E989" s="293">
        <f t="shared" si="640"/>
        <v>987</v>
      </c>
      <c r="F989" s="267" t="s">
        <v>61</v>
      </c>
      <c r="G989" s="267"/>
      <c r="H989" s="316">
        <v>18</v>
      </c>
      <c r="I989" s="316"/>
      <c r="J989" s="317">
        <f>J988</f>
        <v>1560</v>
      </c>
      <c r="K989" s="317" t="str">
        <f>K988</f>
        <v>mm id</v>
      </c>
      <c r="L989" s="367" t="str">
        <f t="shared" ref="L989" si="646">J989&amp;" "&amp;K989</f>
        <v>1560 mm id</v>
      </c>
      <c r="M989" s="319">
        <v>1</v>
      </c>
      <c r="N989" s="271" t="s">
        <v>81</v>
      </c>
      <c r="O989" s="297">
        <f t="shared" si="642"/>
        <v>4.9015199999999997</v>
      </c>
      <c r="P989" s="271" t="s">
        <v>249</v>
      </c>
      <c r="Q989" s="324">
        <f>VLOOKUP(H989,BM!$B$3:$Y$62,20,FALSE)</f>
        <v>0.5</v>
      </c>
      <c r="R989" s="271" t="s">
        <v>112</v>
      </c>
      <c r="S989" s="290">
        <f t="shared" si="639"/>
        <v>2.4507599999999998</v>
      </c>
      <c r="T989" s="275">
        <v>1</v>
      </c>
      <c r="U989" s="290">
        <f t="shared" si="571"/>
        <v>3.45</v>
      </c>
      <c r="V989" s="276" t="s">
        <v>48</v>
      </c>
    </row>
    <row r="990" spans="1:22" s="172" customFormat="1" ht="20.25" customHeight="1">
      <c r="A990" s="263">
        <f t="shared" si="644"/>
        <v>989</v>
      </c>
      <c r="B990" s="263" t="s">
        <v>1263</v>
      </c>
      <c r="C990" s="264">
        <f t="shared" si="615"/>
        <v>989</v>
      </c>
      <c r="D990" s="265" t="s">
        <v>1555</v>
      </c>
      <c r="E990" s="279">
        <f>C984</f>
        <v>983</v>
      </c>
      <c r="F990" s="267"/>
      <c r="G990" s="267"/>
      <c r="H990" s="268"/>
      <c r="I990" s="268"/>
      <c r="J990" s="269"/>
      <c r="K990" s="269"/>
      <c r="L990" s="269"/>
      <c r="M990" s="319"/>
      <c r="N990" s="271"/>
      <c r="O990" s="280"/>
      <c r="P990" s="271"/>
      <c r="Q990" s="281"/>
      <c r="R990" s="271"/>
      <c r="S990" s="312"/>
      <c r="T990" s="282"/>
      <c r="U990" s="312"/>
      <c r="V990" s="276"/>
    </row>
    <row r="991" spans="1:22" s="172" customFormat="1" ht="20.25" customHeight="1">
      <c r="A991" s="263" t="str">
        <f t="shared" si="644"/>
        <v/>
      </c>
      <c r="B991" s="263"/>
      <c r="C991" s="264">
        <f t="shared" si="615"/>
        <v>990</v>
      </c>
      <c r="D991" s="277" t="s">
        <v>1556</v>
      </c>
      <c r="E991" s="293"/>
      <c r="F991" s="267" t="s">
        <v>348</v>
      </c>
      <c r="G991" s="267"/>
      <c r="H991" s="316">
        <v>18</v>
      </c>
      <c r="I991" s="316"/>
      <c r="J991" s="317">
        <f>J989</f>
        <v>1560</v>
      </c>
      <c r="K991" s="317" t="str">
        <f>K989</f>
        <v>mm id</v>
      </c>
      <c r="L991" s="367" t="str">
        <f t="shared" ref="L991" si="647">J991&amp;" "&amp;K991</f>
        <v>1560 mm id</v>
      </c>
      <c r="M991" s="319">
        <v>1</v>
      </c>
      <c r="N991" s="271" t="s">
        <v>81</v>
      </c>
      <c r="O991" s="272">
        <v>1</v>
      </c>
      <c r="P991" s="271" t="s">
        <v>81</v>
      </c>
      <c r="Q991" s="273">
        <v>4</v>
      </c>
      <c r="R991" s="271" t="s">
        <v>112</v>
      </c>
      <c r="S991" s="290">
        <f t="shared" ref="S991:S993" si="648">O991*Q991</f>
        <v>4</v>
      </c>
      <c r="T991" s="275">
        <v>1</v>
      </c>
      <c r="U991" s="290">
        <f t="shared" ref="U991:U1054" si="649">ROUND(S991+T991,2)</f>
        <v>5</v>
      </c>
      <c r="V991" s="276" t="s">
        <v>48</v>
      </c>
    </row>
    <row r="992" spans="1:22" s="172" customFormat="1" ht="20.25" customHeight="1">
      <c r="A992" s="263" t="str">
        <f t="shared" si="644"/>
        <v/>
      </c>
      <c r="B992" s="263"/>
      <c r="C992" s="264">
        <f t="shared" si="615"/>
        <v>991</v>
      </c>
      <c r="D992" s="277" t="s">
        <v>1557</v>
      </c>
      <c r="E992" s="293">
        <f t="shared" ref="E992:E993" si="650">C991</f>
        <v>990</v>
      </c>
      <c r="F992" s="267" t="s">
        <v>348</v>
      </c>
      <c r="G992" s="267"/>
      <c r="H992" s="316">
        <v>18</v>
      </c>
      <c r="I992" s="316"/>
      <c r="J992" s="317">
        <f>J991</f>
        <v>1560</v>
      </c>
      <c r="K992" s="317" t="str">
        <f>K991</f>
        <v>mm id</v>
      </c>
      <c r="L992" s="367" t="str">
        <f t="shared" ref="L992" si="651">J992&amp;" "&amp;K992</f>
        <v>1560 mm id</v>
      </c>
      <c r="M992" s="319">
        <v>1</v>
      </c>
      <c r="N992" s="271" t="s">
        <v>81</v>
      </c>
      <c r="O992" s="272">
        <v>1</v>
      </c>
      <c r="P992" s="271" t="s">
        <v>81</v>
      </c>
      <c r="Q992" s="273">
        <v>4</v>
      </c>
      <c r="R992" s="271" t="s">
        <v>112</v>
      </c>
      <c r="S992" s="290">
        <f t="shared" si="648"/>
        <v>4</v>
      </c>
      <c r="T992" s="275">
        <v>1</v>
      </c>
      <c r="U992" s="290">
        <f t="shared" si="649"/>
        <v>5</v>
      </c>
      <c r="V992" s="276" t="s">
        <v>48</v>
      </c>
    </row>
    <row r="993" spans="1:22" s="172" customFormat="1" ht="20.25" customHeight="1">
      <c r="A993" s="263" t="str">
        <f t="shared" si="644"/>
        <v/>
      </c>
      <c r="B993" s="263"/>
      <c r="C993" s="264">
        <f t="shared" si="615"/>
        <v>992</v>
      </c>
      <c r="D993" s="277" t="s">
        <v>1557</v>
      </c>
      <c r="E993" s="293">
        <f t="shared" si="650"/>
        <v>991</v>
      </c>
      <c r="F993" s="267" t="s">
        <v>348</v>
      </c>
      <c r="G993" s="267"/>
      <c r="H993" s="316">
        <v>18</v>
      </c>
      <c r="I993" s="316"/>
      <c r="J993" s="317">
        <f>J992</f>
        <v>1560</v>
      </c>
      <c r="K993" s="317" t="str">
        <f>K992</f>
        <v>mm id</v>
      </c>
      <c r="L993" s="367" t="str">
        <f t="shared" ref="L993" si="652">J993&amp;" "&amp;K993</f>
        <v>1560 mm id</v>
      </c>
      <c r="M993" s="319">
        <v>1</v>
      </c>
      <c r="N993" s="271" t="s">
        <v>81</v>
      </c>
      <c r="O993" s="272">
        <v>1</v>
      </c>
      <c r="P993" s="271" t="s">
        <v>81</v>
      </c>
      <c r="Q993" s="273">
        <v>4</v>
      </c>
      <c r="R993" s="271" t="s">
        <v>112</v>
      </c>
      <c r="S993" s="290">
        <f t="shared" si="648"/>
        <v>4</v>
      </c>
      <c r="T993" s="275">
        <v>1</v>
      </c>
      <c r="U993" s="290">
        <f t="shared" si="649"/>
        <v>5</v>
      </c>
      <c r="V993" s="276" t="s">
        <v>48</v>
      </c>
    </row>
    <row r="994" spans="1:22" s="172" customFormat="1" ht="20.25" customHeight="1">
      <c r="A994" s="263">
        <f t="shared" si="644"/>
        <v>993</v>
      </c>
      <c r="B994" s="263" t="s">
        <v>1263</v>
      </c>
      <c r="C994" s="264">
        <f t="shared" si="615"/>
        <v>993</v>
      </c>
      <c r="D994" s="265" t="s">
        <v>1558</v>
      </c>
      <c r="E994" s="279">
        <f>C990</f>
        <v>989</v>
      </c>
      <c r="F994" s="267"/>
      <c r="G994" s="267"/>
      <c r="H994" s="268"/>
      <c r="I994" s="268"/>
      <c r="J994" s="269"/>
      <c r="K994" s="269"/>
      <c r="L994" s="269"/>
      <c r="M994" s="319"/>
      <c r="N994" s="271"/>
      <c r="O994" s="280"/>
      <c r="P994" s="271"/>
      <c r="Q994" s="281"/>
      <c r="R994" s="271"/>
      <c r="S994" s="312"/>
      <c r="T994" s="282"/>
      <c r="U994" s="312"/>
      <c r="V994" s="276"/>
    </row>
    <row r="995" spans="1:22" s="172" customFormat="1" ht="20.25" customHeight="1">
      <c r="A995" s="263" t="str">
        <f t="shared" si="644"/>
        <v/>
      </c>
      <c r="B995" s="263"/>
      <c r="C995" s="264">
        <f t="shared" si="615"/>
        <v>994</v>
      </c>
      <c r="D995" s="277" t="s">
        <v>1559</v>
      </c>
      <c r="E995" s="293"/>
      <c r="F995" s="267" t="s">
        <v>52</v>
      </c>
      <c r="G995" s="267"/>
      <c r="H995" s="316">
        <v>18</v>
      </c>
      <c r="I995" s="316"/>
      <c r="J995" s="316">
        <v>972</v>
      </c>
      <c r="K995" s="322" t="s">
        <v>1843</v>
      </c>
      <c r="L995" s="367" t="str">
        <f>J995&amp;" "&amp;K995</f>
        <v>972 mm lip od</v>
      </c>
      <c r="M995" s="319">
        <v>1</v>
      </c>
      <c r="N995" s="296" t="s">
        <v>81</v>
      </c>
      <c r="O995" s="297">
        <f t="shared" ref="O995:O996" si="653">LEFT(L995,SEARCH(" ",L995,1)-1)*3.142*M995*0.001</f>
        <v>3.0540240000000001</v>
      </c>
      <c r="P995" s="271" t="s">
        <v>249</v>
      </c>
      <c r="Q995" s="324">
        <f>VLOOKUP(H995,BM!$B$3:$Y$62,2,FALSE)</f>
        <v>0.1</v>
      </c>
      <c r="R995" s="271" t="s">
        <v>112</v>
      </c>
      <c r="S995" s="290">
        <f t="shared" ref="S995:S997" si="654">O995*Q995</f>
        <v>0.30540240000000002</v>
      </c>
      <c r="T995" s="275">
        <v>1</v>
      </c>
      <c r="U995" s="290">
        <f t="shared" si="649"/>
        <v>1.31</v>
      </c>
      <c r="V995" s="276" t="s">
        <v>48</v>
      </c>
    </row>
    <row r="996" spans="1:22" s="172" customFormat="1" ht="20.25" customHeight="1">
      <c r="A996" s="263" t="str">
        <f t="shared" si="644"/>
        <v/>
      </c>
      <c r="B996" s="263"/>
      <c r="C996" s="264">
        <f t="shared" si="615"/>
        <v>995</v>
      </c>
      <c r="D996" s="277" t="s">
        <v>1559</v>
      </c>
      <c r="E996" s="293">
        <f t="shared" ref="E996" si="655">C995</f>
        <v>994</v>
      </c>
      <c r="F996" s="267" t="s">
        <v>52</v>
      </c>
      <c r="G996" s="267"/>
      <c r="H996" s="316">
        <v>18</v>
      </c>
      <c r="I996" s="316"/>
      <c r="J996" s="317">
        <f>J995</f>
        <v>972</v>
      </c>
      <c r="K996" s="317" t="str">
        <f>K995</f>
        <v>mm lip od</v>
      </c>
      <c r="L996" s="367" t="str">
        <f t="shared" ref="L996" si="656">J996&amp;" "&amp;K996</f>
        <v>972 mm lip od</v>
      </c>
      <c r="M996" s="319">
        <v>1</v>
      </c>
      <c r="N996" s="296" t="s">
        <v>81</v>
      </c>
      <c r="O996" s="297">
        <f t="shared" si="653"/>
        <v>3.0540240000000001</v>
      </c>
      <c r="P996" s="271" t="s">
        <v>249</v>
      </c>
      <c r="Q996" s="324">
        <f>VLOOKUP(H996,BM!$B$3:$Y$62,2,FALSE)</f>
        <v>0.1</v>
      </c>
      <c r="R996" s="271" t="s">
        <v>112</v>
      </c>
      <c r="S996" s="290">
        <f t="shared" si="654"/>
        <v>0.30540240000000002</v>
      </c>
      <c r="T996" s="275">
        <v>1</v>
      </c>
      <c r="U996" s="290">
        <f t="shared" si="649"/>
        <v>1.31</v>
      </c>
      <c r="V996" s="276" t="s">
        <v>48</v>
      </c>
    </row>
    <row r="997" spans="1:22" s="172" customFormat="1" ht="20.25" customHeight="1">
      <c r="A997" s="263">
        <f t="shared" si="644"/>
        <v>996</v>
      </c>
      <c r="B997" s="263" t="s">
        <v>1263</v>
      </c>
      <c r="C997" s="264">
        <f t="shared" si="615"/>
        <v>996</v>
      </c>
      <c r="D997" s="277" t="s">
        <v>1315</v>
      </c>
      <c r="E997" s="293">
        <f>C994</f>
        <v>993</v>
      </c>
      <c r="F997" s="267" t="s">
        <v>52</v>
      </c>
      <c r="G997" s="267"/>
      <c r="H997" s="268"/>
      <c r="I997" s="268"/>
      <c r="J997" s="269"/>
      <c r="K997" s="269"/>
      <c r="L997" s="269"/>
      <c r="M997" s="319">
        <v>2</v>
      </c>
      <c r="N997" s="271" t="s">
        <v>81</v>
      </c>
      <c r="O997" s="272">
        <v>2</v>
      </c>
      <c r="P997" s="271" t="s">
        <v>81</v>
      </c>
      <c r="Q997" s="273">
        <v>0.5</v>
      </c>
      <c r="R997" s="271" t="s">
        <v>112</v>
      </c>
      <c r="S997" s="290">
        <f t="shared" si="654"/>
        <v>1</v>
      </c>
      <c r="T997" s="275">
        <v>1</v>
      </c>
      <c r="U997" s="290">
        <f t="shared" si="649"/>
        <v>2</v>
      </c>
      <c r="V997" s="276" t="s">
        <v>48</v>
      </c>
    </row>
    <row r="998" spans="1:22" s="172" customFormat="1" ht="20.25" customHeight="1">
      <c r="A998" s="263">
        <f t="shared" si="644"/>
        <v>997</v>
      </c>
      <c r="B998" s="263" t="s">
        <v>1263</v>
      </c>
      <c r="C998" s="264">
        <f t="shared" si="615"/>
        <v>997</v>
      </c>
      <c r="D998" s="265" t="s">
        <v>1560</v>
      </c>
      <c r="E998" s="279">
        <f>C997</f>
        <v>996</v>
      </c>
      <c r="F998" s="267"/>
      <c r="G998" s="267"/>
      <c r="H998" s="268"/>
      <c r="I998" s="268"/>
      <c r="J998" s="269"/>
      <c r="K998" s="269"/>
      <c r="L998" s="269"/>
      <c r="M998" s="319"/>
      <c r="N998" s="271"/>
      <c r="O998" s="280"/>
      <c r="P998" s="271"/>
      <c r="Q998" s="281"/>
      <c r="R998" s="271"/>
      <c r="S998" s="312"/>
      <c r="T998" s="282"/>
      <c r="U998" s="312"/>
      <c r="V998" s="276"/>
    </row>
    <row r="999" spans="1:22" s="172" customFormat="1" ht="20.25" customHeight="1">
      <c r="A999" s="263" t="str">
        <f t="shared" si="644"/>
        <v/>
      </c>
      <c r="B999" s="263"/>
      <c r="C999" s="264">
        <f t="shared" si="615"/>
        <v>998</v>
      </c>
      <c r="D999" s="277" t="s">
        <v>1559</v>
      </c>
      <c r="E999" s="293"/>
      <c r="F999" s="267" t="s">
        <v>61</v>
      </c>
      <c r="G999" s="267"/>
      <c r="H999" s="316">
        <v>18</v>
      </c>
      <c r="I999" s="316"/>
      <c r="J999" s="317">
        <f>J996</f>
        <v>972</v>
      </c>
      <c r="K999" s="317" t="str">
        <f>K996</f>
        <v>mm lip od</v>
      </c>
      <c r="L999" s="367" t="str">
        <f t="shared" ref="L999:L1000" si="657">J999&amp;" "&amp;K999</f>
        <v>972 mm lip od</v>
      </c>
      <c r="M999" s="319">
        <v>1</v>
      </c>
      <c r="N999" s="296" t="s">
        <v>81</v>
      </c>
      <c r="O999" s="297">
        <f t="shared" ref="O999:O1000" si="658">LEFT(L999,SEARCH(" ",L999,1)-1)*3.142*M999*0.001</f>
        <v>3.0540240000000001</v>
      </c>
      <c r="P999" s="271" t="s">
        <v>249</v>
      </c>
      <c r="Q999" s="324">
        <f>VLOOKUP(H999,BM!$B$3:$Y$62,6,FALSE)</f>
        <v>1</v>
      </c>
      <c r="R999" s="271" t="s">
        <v>112</v>
      </c>
      <c r="S999" s="290">
        <f t="shared" ref="S999:S1001" si="659">O999*Q999</f>
        <v>3.0540240000000001</v>
      </c>
      <c r="T999" s="275">
        <v>1</v>
      </c>
      <c r="U999" s="290">
        <f t="shared" si="649"/>
        <v>4.05</v>
      </c>
      <c r="V999" s="276" t="s">
        <v>48</v>
      </c>
    </row>
    <row r="1000" spans="1:22" s="172" customFormat="1" ht="20.25" customHeight="1">
      <c r="A1000" s="263" t="str">
        <f t="shared" si="644"/>
        <v/>
      </c>
      <c r="B1000" s="263"/>
      <c r="C1000" s="264">
        <f t="shared" si="615"/>
        <v>999</v>
      </c>
      <c r="D1000" s="277" t="s">
        <v>1559</v>
      </c>
      <c r="E1000" s="293">
        <f t="shared" ref="E1000:E1001" si="660">C999</f>
        <v>998</v>
      </c>
      <c r="F1000" s="267" t="s">
        <v>61</v>
      </c>
      <c r="G1000" s="267"/>
      <c r="H1000" s="316">
        <v>18</v>
      </c>
      <c r="I1000" s="316"/>
      <c r="J1000" s="317">
        <f>J999</f>
        <v>972</v>
      </c>
      <c r="K1000" s="317" t="str">
        <f>K999</f>
        <v>mm lip od</v>
      </c>
      <c r="L1000" s="367" t="str">
        <f t="shared" si="657"/>
        <v>972 mm lip od</v>
      </c>
      <c r="M1000" s="319">
        <v>1</v>
      </c>
      <c r="N1000" s="296" t="s">
        <v>81</v>
      </c>
      <c r="O1000" s="297">
        <f t="shared" si="658"/>
        <v>3.0540240000000001</v>
      </c>
      <c r="P1000" s="271" t="s">
        <v>249</v>
      </c>
      <c r="Q1000" s="324">
        <f>VLOOKUP(H1000,BM!$B$3:$Y$62,6,FALSE)</f>
        <v>1</v>
      </c>
      <c r="R1000" s="271" t="s">
        <v>112</v>
      </c>
      <c r="S1000" s="290">
        <f t="shared" si="659"/>
        <v>3.0540240000000001</v>
      </c>
      <c r="T1000" s="275">
        <v>1</v>
      </c>
      <c r="U1000" s="290">
        <f t="shared" si="649"/>
        <v>4.05</v>
      </c>
      <c r="V1000" s="276" t="s">
        <v>48</v>
      </c>
    </row>
    <row r="1001" spans="1:22" s="172" customFormat="1" ht="20.25" customHeight="1">
      <c r="A1001" s="263" t="str">
        <f t="shared" si="644"/>
        <v/>
      </c>
      <c r="B1001" s="263"/>
      <c r="C1001" s="264">
        <f t="shared" si="615"/>
        <v>1000</v>
      </c>
      <c r="D1001" s="277" t="s">
        <v>1315</v>
      </c>
      <c r="E1001" s="293">
        <f t="shared" si="660"/>
        <v>999</v>
      </c>
      <c r="F1001" s="267"/>
      <c r="G1001" s="267"/>
      <c r="H1001" s="268"/>
      <c r="I1001" s="268"/>
      <c r="J1001" s="269"/>
      <c r="K1001" s="269"/>
      <c r="L1001" s="269"/>
      <c r="M1001" s="319">
        <v>1</v>
      </c>
      <c r="N1001" s="296" t="s">
        <v>81</v>
      </c>
      <c r="O1001" s="272">
        <v>2</v>
      </c>
      <c r="P1001" s="271" t="s">
        <v>81</v>
      </c>
      <c r="Q1001" s="273">
        <v>0.5</v>
      </c>
      <c r="R1001" s="271" t="s">
        <v>112</v>
      </c>
      <c r="S1001" s="290">
        <f t="shared" si="659"/>
        <v>1</v>
      </c>
      <c r="T1001" s="275">
        <v>1</v>
      </c>
      <c r="U1001" s="290">
        <f t="shared" si="649"/>
        <v>2</v>
      </c>
      <c r="V1001" s="276" t="s">
        <v>48</v>
      </c>
    </row>
    <row r="1002" spans="1:22" s="172" customFormat="1" ht="20.25" customHeight="1">
      <c r="A1002" s="263">
        <f t="shared" si="644"/>
        <v>1001</v>
      </c>
      <c r="B1002" s="263" t="s">
        <v>1263</v>
      </c>
      <c r="C1002" s="264">
        <f t="shared" si="615"/>
        <v>1001</v>
      </c>
      <c r="D1002" s="265" t="s">
        <v>1561</v>
      </c>
      <c r="E1002" s="279">
        <f>C998</f>
        <v>997</v>
      </c>
      <c r="F1002" s="267"/>
      <c r="G1002" s="267"/>
      <c r="H1002" s="268"/>
      <c r="I1002" s="268"/>
      <c r="J1002" s="269"/>
      <c r="K1002" s="269"/>
      <c r="L1002" s="269"/>
      <c r="M1002" s="319"/>
      <c r="N1002" s="271"/>
      <c r="O1002" s="280"/>
      <c r="P1002" s="271"/>
      <c r="Q1002" s="281"/>
      <c r="R1002" s="271"/>
      <c r="S1002" s="312"/>
      <c r="T1002" s="282"/>
      <c r="U1002" s="312"/>
      <c r="V1002" s="276"/>
    </row>
    <row r="1003" spans="1:22" s="172" customFormat="1" ht="20.25" customHeight="1">
      <c r="A1003" s="263" t="str">
        <f t="shared" si="644"/>
        <v/>
      </c>
      <c r="B1003" s="263"/>
      <c r="C1003" s="264">
        <f t="shared" si="615"/>
        <v>1002</v>
      </c>
      <c r="D1003" s="277" t="s">
        <v>1559</v>
      </c>
      <c r="E1003" s="293"/>
      <c r="F1003" s="267" t="s">
        <v>299</v>
      </c>
      <c r="G1003" s="267"/>
      <c r="H1003" s="268"/>
      <c r="I1003" s="268"/>
      <c r="J1003" s="322">
        <v>650</v>
      </c>
      <c r="K1003" s="322" t="s">
        <v>1090</v>
      </c>
      <c r="L1003" s="367" t="str">
        <f t="shared" ref="L1003:L1004" si="661">J1003&amp;" "&amp;K1003</f>
        <v>650 NB</v>
      </c>
      <c r="M1003" s="319">
        <v>1</v>
      </c>
      <c r="N1003" s="296" t="s">
        <v>81</v>
      </c>
      <c r="O1003" s="272">
        <v>1</v>
      </c>
      <c r="P1003" s="271" t="s">
        <v>249</v>
      </c>
      <c r="Q1003" s="324" t="e">
        <f>VLOOKUP(L1003,BM!$B$3:$Y$62,11,FALSE)</f>
        <v>#N/A</v>
      </c>
      <c r="R1003" s="271" t="s">
        <v>112</v>
      </c>
      <c r="S1003" s="290" t="e">
        <f t="shared" ref="S1003:S1005" si="662">O1003*Q1003</f>
        <v>#N/A</v>
      </c>
      <c r="T1003" s="275">
        <v>1</v>
      </c>
      <c r="U1003" s="290" t="e">
        <f t="shared" si="649"/>
        <v>#N/A</v>
      </c>
      <c r="V1003" s="276" t="s">
        <v>48</v>
      </c>
    </row>
    <row r="1004" spans="1:22" s="172" customFormat="1" ht="20.25" customHeight="1">
      <c r="A1004" s="263" t="str">
        <f t="shared" si="644"/>
        <v/>
      </c>
      <c r="B1004" s="263"/>
      <c r="C1004" s="264">
        <f t="shared" si="615"/>
        <v>1003</v>
      </c>
      <c r="D1004" s="277" t="s">
        <v>1559</v>
      </c>
      <c r="E1004" s="293">
        <f t="shared" ref="E1004:E1005" si="663">C1003</f>
        <v>1002</v>
      </c>
      <c r="F1004" s="267" t="s">
        <v>299</v>
      </c>
      <c r="G1004" s="267"/>
      <c r="H1004" s="268"/>
      <c r="I1004" s="268"/>
      <c r="J1004" s="322">
        <v>650</v>
      </c>
      <c r="K1004" s="322" t="s">
        <v>1090</v>
      </c>
      <c r="L1004" s="367" t="str">
        <f t="shared" si="661"/>
        <v>650 NB</v>
      </c>
      <c r="M1004" s="319">
        <v>1</v>
      </c>
      <c r="N1004" s="296" t="s">
        <v>81</v>
      </c>
      <c r="O1004" s="272">
        <v>1</v>
      </c>
      <c r="P1004" s="271" t="s">
        <v>249</v>
      </c>
      <c r="Q1004" s="324" t="e">
        <f>VLOOKUP(L1004,BM!$B$3:$Y$62,11,FALSE)</f>
        <v>#N/A</v>
      </c>
      <c r="R1004" s="271" t="s">
        <v>112</v>
      </c>
      <c r="S1004" s="290" t="e">
        <f t="shared" si="662"/>
        <v>#N/A</v>
      </c>
      <c r="T1004" s="275">
        <v>1</v>
      </c>
      <c r="U1004" s="290" t="e">
        <f t="shared" si="649"/>
        <v>#N/A</v>
      </c>
      <c r="V1004" s="276" t="s">
        <v>48</v>
      </c>
    </row>
    <row r="1005" spans="1:22" s="172" customFormat="1" ht="20.25" customHeight="1">
      <c r="A1005" s="263" t="str">
        <f t="shared" si="644"/>
        <v/>
      </c>
      <c r="B1005" s="263"/>
      <c r="C1005" s="264">
        <f t="shared" si="615"/>
        <v>1004</v>
      </c>
      <c r="D1005" s="277" t="s">
        <v>1562</v>
      </c>
      <c r="E1005" s="293">
        <f t="shared" si="663"/>
        <v>1003</v>
      </c>
      <c r="F1005" s="267"/>
      <c r="G1005" s="267"/>
      <c r="H1005" s="268"/>
      <c r="I1005" s="268"/>
      <c r="J1005" s="269"/>
      <c r="K1005" s="269"/>
      <c r="L1005" s="269"/>
      <c r="M1005" s="319">
        <v>2</v>
      </c>
      <c r="N1005" s="296" t="s">
        <v>81</v>
      </c>
      <c r="O1005" s="272">
        <v>1</v>
      </c>
      <c r="P1005" s="271" t="s">
        <v>81</v>
      </c>
      <c r="Q1005" s="273">
        <v>1</v>
      </c>
      <c r="R1005" s="271" t="s">
        <v>112</v>
      </c>
      <c r="S1005" s="290">
        <f t="shared" si="662"/>
        <v>1</v>
      </c>
      <c r="T1005" s="275">
        <v>1</v>
      </c>
      <c r="U1005" s="290">
        <f t="shared" si="649"/>
        <v>2</v>
      </c>
      <c r="V1005" s="276" t="s">
        <v>48</v>
      </c>
    </row>
    <row r="1006" spans="1:22" s="172" customFormat="1" ht="20.25" customHeight="1">
      <c r="A1006" s="263">
        <f t="shared" si="644"/>
        <v>1005</v>
      </c>
      <c r="B1006" s="263" t="s">
        <v>1263</v>
      </c>
      <c r="C1006" s="264">
        <f t="shared" si="615"/>
        <v>1005</v>
      </c>
      <c r="D1006" s="265" t="s">
        <v>1563</v>
      </c>
      <c r="E1006" s="279">
        <f>C1002</f>
        <v>1001</v>
      </c>
      <c r="F1006" s="267"/>
      <c r="G1006" s="267"/>
      <c r="H1006" s="268"/>
      <c r="I1006" s="268"/>
      <c r="J1006" s="269"/>
      <c r="K1006" s="269"/>
      <c r="L1006" s="269"/>
      <c r="M1006" s="319"/>
      <c r="N1006" s="271"/>
      <c r="O1006" s="280"/>
      <c r="P1006" s="271"/>
      <c r="Q1006" s="281"/>
      <c r="R1006" s="271"/>
      <c r="S1006" s="312"/>
      <c r="T1006" s="282"/>
      <c r="U1006" s="312"/>
      <c r="V1006" s="276"/>
    </row>
    <row r="1007" spans="1:22" s="172" customFormat="1" ht="20.25" customHeight="1">
      <c r="A1007" s="263" t="str">
        <f t="shared" si="644"/>
        <v/>
      </c>
      <c r="B1007" s="263"/>
      <c r="C1007" s="264">
        <f t="shared" si="615"/>
        <v>1006</v>
      </c>
      <c r="D1007" s="277" t="s">
        <v>1559</v>
      </c>
      <c r="E1007" s="293"/>
      <c r="F1007" s="267" t="s">
        <v>44</v>
      </c>
      <c r="G1007" s="267"/>
      <c r="H1007" s="268"/>
      <c r="I1007" s="268"/>
      <c r="J1007" s="322">
        <v>650</v>
      </c>
      <c r="K1007" s="322" t="s">
        <v>1090</v>
      </c>
      <c r="L1007" s="367" t="str">
        <f t="shared" ref="L1007:L1009" si="664">J1007&amp;" "&amp;K1007</f>
        <v>650 NB</v>
      </c>
      <c r="M1007" s="319">
        <v>1</v>
      </c>
      <c r="N1007" s="296" t="s">
        <v>81</v>
      </c>
      <c r="O1007" s="272">
        <v>1</v>
      </c>
      <c r="P1007" s="271" t="s">
        <v>48</v>
      </c>
      <c r="Q1007" s="273">
        <v>1</v>
      </c>
      <c r="R1007" s="271" t="s">
        <v>112</v>
      </c>
      <c r="S1007" s="290">
        <f t="shared" ref="S1007:S1009" si="665">O1007*Q1007</f>
        <v>1</v>
      </c>
      <c r="T1007" s="275">
        <v>1</v>
      </c>
      <c r="U1007" s="290">
        <f t="shared" si="649"/>
        <v>2</v>
      </c>
      <c r="V1007" s="276" t="s">
        <v>48</v>
      </c>
    </row>
    <row r="1008" spans="1:22" s="172" customFormat="1" ht="20.25" customHeight="1">
      <c r="A1008" s="263" t="str">
        <f t="shared" si="644"/>
        <v/>
      </c>
      <c r="B1008" s="263"/>
      <c r="C1008" s="264">
        <f t="shared" si="615"/>
        <v>1007</v>
      </c>
      <c r="D1008" s="277" t="s">
        <v>1559</v>
      </c>
      <c r="E1008" s="293">
        <f t="shared" ref="E1008:E1009" si="666">C1007</f>
        <v>1006</v>
      </c>
      <c r="F1008" s="267" t="s">
        <v>44</v>
      </c>
      <c r="G1008" s="267"/>
      <c r="H1008" s="268"/>
      <c r="I1008" s="268"/>
      <c r="J1008" s="322">
        <v>650</v>
      </c>
      <c r="K1008" s="322" t="s">
        <v>1090</v>
      </c>
      <c r="L1008" s="367" t="str">
        <f t="shared" si="664"/>
        <v>650 NB</v>
      </c>
      <c r="M1008" s="319">
        <v>1</v>
      </c>
      <c r="N1008" s="296" t="s">
        <v>81</v>
      </c>
      <c r="O1008" s="272">
        <v>1</v>
      </c>
      <c r="P1008" s="271" t="s">
        <v>48</v>
      </c>
      <c r="Q1008" s="273">
        <v>1</v>
      </c>
      <c r="R1008" s="271" t="s">
        <v>112</v>
      </c>
      <c r="S1008" s="290">
        <f t="shared" si="665"/>
        <v>1</v>
      </c>
      <c r="T1008" s="275">
        <v>1</v>
      </c>
      <c r="U1008" s="290">
        <f t="shared" si="649"/>
        <v>2</v>
      </c>
      <c r="V1008" s="276" t="s">
        <v>48</v>
      </c>
    </row>
    <row r="1009" spans="1:22" s="172" customFormat="1" ht="20.25" customHeight="1">
      <c r="A1009" s="263" t="str">
        <f t="shared" si="644"/>
        <v/>
      </c>
      <c r="B1009" s="263"/>
      <c r="C1009" s="264">
        <f t="shared" si="615"/>
        <v>1008</v>
      </c>
      <c r="D1009" s="277" t="s">
        <v>1562</v>
      </c>
      <c r="E1009" s="293">
        <f t="shared" si="666"/>
        <v>1007</v>
      </c>
      <c r="F1009" s="267" t="s">
        <v>44</v>
      </c>
      <c r="G1009" s="267"/>
      <c r="H1009" s="268"/>
      <c r="I1009" s="268"/>
      <c r="J1009" s="322">
        <v>650</v>
      </c>
      <c r="K1009" s="322" t="s">
        <v>1090</v>
      </c>
      <c r="L1009" s="367" t="str">
        <f t="shared" si="664"/>
        <v>650 NB</v>
      </c>
      <c r="M1009" s="319">
        <v>2</v>
      </c>
      <c r="N1009" s="296" t="s">
        <v>81</v>
      </c>
      <c r="O1009" s="272">
        <v>1</v>
      </c>
      <c r="P1009" s="271" t="s">
        <v>48</v>
      </c>
      <c r="Q1009" s="273">
        <v>1</v>
      </c>
      <c r="R1009" s="271" t="s">
        <v>112</v>
      </c>
      <c r="S1009" s="290">
        <f t="shared" si="665"/>
        <v>1</v>
      </c>
      <c r="T1009" s="275">
        <v>1</v>
      </c>
      <c r="U1009" s="290">
        <f t="shared" si="649"/>
        <v>2</v>
      </c>
      <c r="V1009" s="276" t="s">
        <v>48</v>
      </c>
    </row>
    <row r="1010" spans="1:22" s="172" customFormat="1" ht="20.25" customHeight="1">
      <c r="A1010" s="263">
        <f t="shared" si="644"/>
        <v>1009</v>
      </c>
      <c r="B1010" s="263" t="s">
        <v>1263</v>
      </c>
      <c r="C1010" s="264">
        <f t="shared" si="615"/>
        <v>1009</v>
      </c>
      <c r="D1010" s="265" t="s">
        <v>1564</v>
      </c>
      <c r="E1010" s="279">
        <f>C1006</f>
        <v>1005</v>
      </c>
      <c r="F1010" s="267"/>
      <c r="G1010" s="267"/>
      <c r="H1010" s="268"/>
      <c r="I1010" s="268"/>
      <c r="J1010" s="269"/>
      <c r="K1010" s="269"/>
      <c r="L1010" s="269"/>
      <c r="M1010" s="319"/>
      <c r="N1010" s="271"/>
      <c r="O1010" s="280"/>
      <c r="P1010" s="271"/>
      <c r="Q1010" s="281"/>
      <c r="R1010" s="271"/>
      <c r="S1010" s="312"/>
      <c r="T1010" s="282"/>
      <c r="U1010" s="312"/>
      <c r="V1010" s="276"/>
    </row>
    <row r="1011" spans="1:22" s="172" customFormat="1" ht="20.25" customHeight="1">
      <c r="A1011" s="263" t="str">
        <f t="shared" si="644"/>
        <v/>
      </c>
      <c r="B1011" s="263"/>
      <c r="C1011" s="264">
        <f t="shared" si="615"/>
        <v>1010</v>
      </c>
      <c r="D1011" s="277" t="s">
        <v>1565</v>
      </c>
      <c r="E1011" s="293"/>
      <c r="F1011" s="267" t="s">
        <v>37</v>
      </c>
      <c r="G1011" s="267"/>
      <c r="H1011" s="268"/>
      <c r="I1011" s="268"/>
      <c r="J1011" s="269"/>
      <c r="K1011" s="269"/>
      <c r="L1011" s="269"/>
      <c r="M1011" s="319">
        <v>1</v>
      </c>
      <c r="N1011" s="296" t="s">
        <v>81</v>
      </c>
      <c r="O1011" s="272">
        <v>1</v>
      </c>
      <c r="P1011" s="271" t="s">
        <v>81</v>
      </c>
      <c r="Q1011" s="273">
        <v>1</v>
      </c>
      <c r="R1011" s="271" t="s">
        <v>162</v>
      </c>
      <c r="S1011" s="290">
        <f t="shared" ref="S1011:S1018" si="667">O1011*Q1011</f>
        <v>1</v>
      </c>
      <c r="T1011" s="275"/>
      <c r="U1011" s="290">
        <f t="shared" si="649"/>
        <v>1</v>
      </c>
      <c r="V1011" s="276" t="s">
        <v>48</v>
      </c>
    </row>
    <row r="1012" spans="1:22" s="172" customFormat="1" ht="20.25" customHeight="1">
      <c r="A1012" s="263" t="str">
        <f t="shared" si="644"/>
        <v/>
      </c>
      <c r="B1012" s="263"/>
      <c r="C1012" s="264">
        <f t="shared" si="615"/>
        <v>1011</v>
      </c>
      <c r="D1012" s="277" t="s">
        <v>1566</v>
      </c>
      <c r="E1012" s="293">
        <f t="shared" ref="E1012:E1018" si="668">C1011</f>
        <v>1010</v>
      </c>
      <c r="F1012" s="267" t="s">
        <v>115</v>
      </c>
      <c r="G1012" s="267"/>
      <c r="H1012" s="316">
        <v>12</v>
      </c>
      <c r="I1012" s="316"/>
      <c r="J1012" s="317">
        <f>J1000</f>
        <v>972</v>
      </c>
      <c r="K1012" s="317" t="str">
        <f>K1000</f>
        <v>mm lip od</v>
      </c>
      <c r="L1012" s="367" t="str">
        <f t="shared" ref="L1012:L1018" si="669">J1012&amp;" "&amp;K1012</f>
        <v>972 mm lip od</v>
      </c>
      <c r="M1012" s="319">
        <v>1</v>
      </c>
      <c r="N1012" s="296" t="s">
        <v>81</v>
      </c>
      <c r="O1012" s="297">
        <f t="shared" ref="O1012:O1018" si="670">LEFT(L1012,SEARCH(" ",L1012,1)-1)*3.142*M1012*0.001</f>
        <v>3.0540240000000001</v>
      </c>
      <c r="P1012" s="271" t="s">
        <v>249</v>
      </c>
      <c r="Q1012" s="324">
        <f>VLOOKUP(H1012,BM!$B$3:$Y$62,17,FALSE)</f>
        <v>2.5</v>
      </c>
      <c r="R1012" s="271" t="s">
        <v>112</v>
      </c>
      <c r="S1012" s="290">
        <f t="shared" si="667"/>
        <v>7.6350600000000002</v>
      </c>
      <c r="T1012" s="275">
        <v>1</v>
      </c>
      <c r="U1012" s="290">
        <f t="shared" si="649"/>
        <v>8.64</v>
      </c>
      <c r="V1012" s="276" t="s">
        <v>48</v>
      </c>
    </row>
    <row r="1013" spans="1:22" s="172" customFormat="1" ht="20.25" customHeight="1">
      <c r="A1013" s="263" t="str">
        <f t="shared" si="644"/>
        <v/>
      </c>
      <c r="B1013" s="263"/>
      <c r="C1013" s="264">
        <f t="shared" si="615"/>
        <v>1012</v>
      </c>
      <c r="D1013" s="277" t="s">
        <v>1567</v>
      </c>
      <c r="E1013" s="293">
        <f t="shared" si="668"/>
        <v>1011</v>
      </c>
      <c r="F1013" s="267" t="s">
        <v>115</v>
      </c>
      <c r="G1013" s="267"/>
      <c r="H1013" s="316">
        <v>12</v>
      </c>
      <c r="I1013" s="316"/>
      <c r="J1013" s="317">
        <f t="shared" ref="J1013" si="671">J1012</f>
        <v>972</v>
      </c>
      <c r="K1013" s="317" t="str">
        <f t="shared" ref="K1013:L1018" si="672">K1012</f>
        <v>mm lip od</v>
      </c>
      <c r="L1013" s="367" t="str">
        <f t="shared" si="669"/>
        <v>972 mm lip od</v>
      </c>
      <c r="M1013" s="319">
        <v>1</v>
      </c>
      <c r="N1013" s="296" t="s">
        <v>81</v>
      </c>
      <c r="O1013" s="297">
        <f t="shared" si="670"/>
        <v>3.0540240000000001</v>
      </c>
      <c r="P1013" s="271" t="s">
        <v>249</v>
      </c>
      <c r="Q1013" s="324">
        <f>VLOOKUP(H1013,BM!$B$3:$Y$62,17,FALSE)</f>
        <v>2.5</v>
      </c>
      <c r="R1013" s="271" t="s">
        <v>112</v>
      </c>
      <c r="S1013" s="290">
        <f t="shared" si="667"/>
        <v>7.6350600000000002</v>
      </c>
      <c r="T1013" s="275">
        <v>1</v>
      </c>
      <c r="U1013" s="290">
        <f t="shared" si="649"/>
        <v>8.64</v>
      </c>
      <c r="V1013" s="276" t="s">
        <v>48</v>
      </c>
    </row>
    <row r="1014" spans="1:22" s="172" customFormat="1" ht="20.25" customHeight="1">
      <c r="A1014" s="263" t="str">
        <f t="shared" si="644"/>
        <v/>
      </c>
      <c r="B1014" s="263"/>
      <c r="C1014" s="264">
        <f t="shared" si="615"/>
        <v>1013</v>
      </c>
      <c r="D1014" s="277" t="s">
        <v>1568</v>
      </c>
      <c r="E1014" s="293">
        <f t="shared" si="668"/>
        <v>1012</v>
      </c>
      <c r="F1014" s="267" t="s">
        <v>115</v>
      </c>
      <c r="G1014" s="267"/>
      <c r="H1014" s="316">
        <v>12</v>
      </c>
      <c r="I1014" s="316"/>
      <c r="J1014" s="317">
        <f t="shared" ref="J1014" si="673">J1013</f>
        <v>972</v>
      </c>
      <c r="K1014" s="317" t="str">
        <f t="shared" si="672"/>
        <v>mm lip od</v>
      </c>
      <c r="L1014" s="367" t="str">
        <f t="shared" si="669"/>
        <v>972 mm lip od</v>
      </c>
      <c r="M1014" s="319">
        <v>1</v>
      </c>
      <c r="N1014" s="296" t="s">
        <v>81</v>
      </c>
      <c r="O1014" s="297">
        <f t="shared" si="670"/>
        <v>3.0540240000000001</v>
      </c>
      <c r="P1014" s="271" t="s">
        <v>249</v>
      </c>
      <c r="Q1014" s="324">
        <f>VLOOKUP(H1014,BM!$B$3:$Y$62,17,FALSE)</f>
        <v>2.5</v>
      </c>
      <c r="R1014" s="271" t="s">
        <v>112</v>
      </c>
      <c r="S1014" s="290">
        <f t="shared" si="667"/>
        <v>7.6350600000000002</v>
      </c>
      <c r="T1014" s="275">
        <v>1</v>
      </c>
      <c r="U1014" s="290">
        <f t="shared" si="649"/>
        <v>8.64</v>
      </c>
      <c r="V1014" s="276" t="s">
        <v>48</v>
      </c>
    </row>
    <row r="1015" spans="1:22" s="172" customFormat="1" ht="20.25" customHeight="1">
      <c r="A1015" s="263" t="str">
        <f t="shared" si="644"/>
        <v/>
      </c>
      <c r="B1015" s="263"/>
      <c r="C1015" s="264">
        <f t="shared" si="615"/>
        <v>1014</v>
      </c>
      <c r="D1015" s="277" t="s">
        <v>1569</v>
      </c>
      <c r="E1015" s="293">
        <f t="shared" si="668"/>
        <v>1013</v>
      </c>
      <c r="F1015" s="267" t="s">
        <v>44</v>
      </c>
      <c r="G1015" s="267"/>
      <c r="H1015" s="316">
        <v>12</v>
      </c>
      <c r="I1015" s="316"/>
      <c r="J1015" s="317">
        <f t="shared" ref="J1015" si="674">J1014</f>
        <v>972</v>
      </c>
      <c r="K1015" s="317" t="str">
        <f t="shared" si="672"/>
        <v>mm lip od</v>
      </c>
      <c r="L1015" s="367" t="str">
        <f t="shared" si="669"/>
        <v>972 mm lip od</v>
      </c>
      <c r="M1015" s="319">
        <v>2</v>
      </c>
      <c r="N1015" s="296" t="s">
        <v>81</v>
      </c>
      <c r="O1015" s="297">
        <f t="shared" si="670"/>
        <v>6.1080480000000001</v>
      </c>
      <c r="P1015" s="271" t="s">
        <v>249</v>
      </c>
      <c r="Q1015" s="273">
        <v>1</v>
      </c>
      <c r="R1015" s="271" t="s">
        <v>112</v>
      </c>
      <c r="S1015" s="290">
        <f t="shared" si="667"/>
        <v>6.1080480000000001</v>
      </c>
      <c r="T1015" s="275">
        <v>1</v>
      </c>
      <c r="U1015" s="290">
        <f t="shared" si="649"/>
        <v>7.11</v>
      </c>
      <c r="V1015" s="276" t="s">
        <v>48</v>
      </c>
    </row>
    <row r="1016" spans="1:22" s="172" customFormat="1" ht="20.25" customHeight="1">
      <c r="A1016" s="263" t="str">
        <f t="shared" si="644"/>
        <v/>
      </c>
      <c r="B1016" s="263"/>
      <c r="C1016" s="264">
        <f t="shared" si="615"/>
        <v>1015</v>
      </c>
      <c r="D1016" s="277" t="s">
        <v>1570</v>
      </c>
      <c r="E1016" s="293">
        <f t="shared" si="668"/>
        <v>1014</v>
      </c>
      <c r="F1016" s="267" t="s">
        <v>386</v>
      </c>
      <c r="G1016" s="267"/>
      <c r="H1016" s="316">
        <v>8</v>
      </c>
      <c r="I1016" s="316"/>
      <c r="J1016" s="317">
        <f t="shared" ref="J1016" si="675">J1015</f>
        <v>972</v>
      </c>
      <c r="K1016" s="317" t="str">
        <f t="shared" si="672"/>
        <v>mm lip od</v>
      </c>
      <c r="L1016" s="367" t="str">
        <f t="shared" si="669"/>
        <v>972 mm lip od</v>
      </c>
      <c r="M1016" s="319">
        <v>1</v>
      </c>
      <c r="N1016" s="296" t="s">
        <v>81</v>
      </c>
      <c r="O1016" s="297">
        <f t="shared" si="670"/>
        <v>3.0540240000000001</v>
      </c>
      <c r="P1016" s="271" t="s">
        <v>249</v>
      </c>
      <c r="Q1016" s="324">
        <f>VLOOKUP(H1016,BM!$B$3:$Y$62,17,FALSE)</f>
        <v>1.36</v>
      </c>
      <c r="R1016" s="271" t="s">
        <v>112</v>
      </c>
      <c r="S1016" s="290">
        <f t="shared" si="667"/>
        <v>4.1534726400000004</v>
      </c>
      <c r="T1016" s="275">
        <v>1</v>
      </c>
      <c r="U1016" s="290">
        <f t="shared" si="649"/>
        <v>5.15</v>
      </c>
      <c r="V1016" s="276" t="s">
        <v>48</v>
      </c>
    </row>
    <row r="1017" spans="1:22" s="172" customFormat="1" ht="20.25" customHeight="1">
      <c r="A1017" s="263" t="str">
        <f t="shared" si="644"/>
        <v/>
      </c>
      <c r="B1017" s="263"/>
      <c r="C1017" s="264">
        <f t="shared" si="615"/>
        <v>1016</v>
      </c>
      <c r="D1017" s="277" t="s">
        <v>1571</v>
      </c>
      <c r="E1017" s="293">
        <f t="shared" si="668"/>
        <v>1015</v>
      </c>
      <c r="F1017" s="267" t="s">
        <v>386</v>
      </c>
      <c r="G1017" s="267"/>
      <c r="H1017" s="316">
        <v>8</v>
      </c>
      <c r="I1017" s="316"/>
      <c r="J1017" s="317">
        <f t="shared" ref="J1017" si="676">J1016</f>
        <v>972</v>
      </c>
      <c r="K1017" s="317" t="str">
        <f t="shared" si="672"/>
        <v>mm lip od</v>
      </c>
      <c r="L1017" s="367" t="str">
        <f t="shared" si="669"/>
        <v>972 mm lip od</v>
      </c>
      <c r="M1017" s="319">
        <v>1</v>
      </c>
      <c r="N1017" s="296" t="s">
        <v>81</v>
      </c>
      <c r="O1017" s="297">
        <f t="shared" si="670"/>
        <v>3.0540240000000001</v>
      </c>
      <c r="P1017" s="271" t="s">
        <v>249</v>
      </c>
      <c r="Q1017" s="324">
        <f>VLOOKUP(H1017,BM!$B$3:$Y$62,17,FALSE)</f>
        <v>1.36</v>
      </c>
      <c r="R1017" s="271" t="s">
        <v>112</v>
      </c>
      <c r="S1017" s="290">
        <f t="shared" si="667"/>
        <v>4.1534726400000004</v>
      </c>
      <c r="T1017" s="275">
        <v>1</v>
      </c>
      <c r="U1017" s="290">
        <f t="shared" si="649"/>
        <v>5.15</v>
      </c>
      <c r="V1017" s="276" t="s">
        <v>48</v>
      </c>
    </row>
    <row r="1018" spans="1:22" s="172" customFormat="1" ht="20.25" customHeight="1">
      <c r="A1018" s="263" t="str">
        <f t="shared" si="644"/>
        <v/>
      </c>
      <c r="B1018" s="263"/>
      <c r="C1018" s="264">
        <f t="shared" si="615"/>
        <v>1017</v>
      </c>
      <c r="D1018" s="277" t="s">
        <v>1572</v>
      </c>
      <c r="E1018" s="293">
        <f t="shared" si="668"/>
        <v>1016</v>
      </c>
      <c r="F1018" s="267" t="s">
        <v>386</v>
      </c>
      <c r="G1018" s="267"/>
      <c r="H1018" s="316">
        <v>8</v>
      </c>
      <c r="I1018" s="316"/>
      <c r="J1018" s="317">
        <f t="shared" ref="J1018" si="677">J1017</f>
        <v>972</v>
      </c>
      <c r="K1018" s="317" t="str">
        <f t="shared" si="672"/>
        <v>mm lip od</v>
      </c>
      <c r="L1018" s="367" t="str">
        <f t="shared" si="669"/>
        <v>972 mm lip od</v>
      </c>
      <c r="M1018" s="319">
        <v>0</v>
      </c>
      <c r="N1018" s="296" t="s">
        <v>81</v>
      </c>
      <c r="O1018" s="297">
        <f t="shared" si="670"/>
        <v>0</v>
      </c>
      <c r="P1018" s="271" t="s">
        <v>249</v>
      </c>
      <c r="Q1018" s="324">
        <f>VLOOKUP(H1018,BM!$B$3:$Y$62,17,FALSE)</f>
        <v>1.36</v>
      </c>
      <c r="R1018" s="271" t="s">
        <v>112</v>
      </c>
      <c r="S1018" s="290">
        <f t="shared" si="667"/>
        <v>0</v>
      </c>
      <c r="T1018" s="275">
        <v>1</v>
      </c>
      <c r="U1018" s="290">
        <f t="shared" si="649"/>
        <v>1</v>
      </c>
      <c r="V1018" s="276" t="s">
        <v>48</v>
      </c>
    </row>
    <row r="1019" spans="1:22" s="172" customFormat="1" ht="20.25" customHeight="1">
      <c r="A1019" s="263">
        <f t="shared" si="644"/>
        <v>1018</v>
      </c>
      <c r="B1019" s="263" t="s">
        <v>1263</v>
      </c>
      <c r="C1019" s="264">
        <f t="shared" si="615"/>
        <v>1018</v>
      </c>
      <c r="D1019" s="265" t="s">
        <v>1573</v>
      </c>
      <c r="E1019" s="279">
        <f>C1010</f>
        <v>1009</v>
      </c>
      <c r="F1019" s="267"/>
      <c r="G1019" s="267"/>
      <c r="H1019" s="268"/>
      <c r="I1019" s="268"/>
      <c r="J1019" s="269"/>
      <c r="K1019" s="269"/>
      <c r="L1019" s="269"/>
      <c r="M1019" s="319"/>
      <c r="N1019" s="271"/>
      <c r="O1019" s="280"/>
      <c r="P1019" s="271"/>
      <c r="Q1019" s="281"/>
      <c r="R1019" s="271"/>
      <c r="S1019" s="312"/>
      <c r="T1019" s="282"/>
      <c r="U1019" s="312"/>
      <c r="V1019" s="276"/>
    </row>
    <row r="1020" spans="1:22" s="172" customFormat="1" ht="20.25" customHeight="1">
      <c r="A1020" s="263" t="str">
        <f t="shared" si="644"/>
        <v/>
      </c>
      <c r="B1020" s="263"/>
      <c r="C1020" s="264">
        <f t="shared" si="615"/>
        <v>1019</v>
      </c>
      <c r="D1020" s="277" t="s">
        <v>1574</v>
      </c>
      <c r="E1020" s="293"/>
      <c r="F1020" s="267" t="s">
        <v>111</v>
      </c>
      <c r="G1020" s="267"/>
      <c r="H1020" s="316">
        <v>25</v>
      </c>
      <c r="I1020" s="316"/>
      <c r="J1020" s="315">
        <v>1596</v>
      </c>
      <c r="K1020" s="294" t="s">
        <v>1834</v>
      </c>
      <c r="L1020" s="367" t="str">
        <f>J1020&amp;" "&amp;K1020</f>
        <v>1596 mm od</v>
      </c>
      <c r="M1020" s="319">
        <v>2</v>
      </c>
      <c r="N1020" s="296" t="s">
        <v>81</v>
      </c>
      <c r="O1020" s="297">
        <f>LEFT(L1020,SEARCH(" ",L1020,1)-1)*3.142*M1020*2*0.001</f>
        <v>20.058527999999999</v>
      </c>
      <c r="P1020" s="271" t="s">
        <v>81</v>
      </c>
      <c r="Q1020" s="273">
        <v>0.5</v>
      </c>
      <c r="R1020" s="271" t="s">
        <v>162</v>
      </c>
      <c r="S1020" s="290">
        <f t="shared" ref="S1020:S1025" si="678">O1020*Q1020</f>
        <v>10.029264</v>
      </c>
      <c r="T1020" s="275">
        <v>1</v>
      </c>
      <c r="U1020" s="290">
        <f t="shared" si="649"/>
        <v>11.03</v>
      </c>
      <c r="V1020" s="276" t="s">
        <v>48</v>
      </c>
    </row>
    <row r="1021" spans="1:22" s="172" customFormat="1" ht="20.25" customHeight="1">
      <c r="A1021" s="263" t="str">
        <f t="shared" si="644"/>
        <v/>
      </c>
      <c r="B1021" s="263"/>
      <c r="C1021" s="264">
        <f t="shared" si="615"/>
        <v>1020</v>
      </c>
      <c r="D1021" s="277" t="s">
        <v>1575</v>
      </c>
      <c r="E1021" s="293">
        <f t="shared" ref="E1021:E1025" si="679">C1020</f>
        <v>1019</v>
      </c>
      <c r="F1021" s="267" t="s">
        <v>156</v>
      </c>
      <c r="G1021" s="267"/>
      <c r="H1021" s="316">
        <v>12</v>
      </c>
      <c r="I1021" s="316"/>
      <c r="J1021" s="317">
        <f>J1020</f>
        <v>1596</v>
      </c>
      <c r="K1021" s="317" t="str">
        <f>K1020</f>
        <v>mm od</v>
      </c>
      <c r="L1021" s="367" t="str">
        <f t="shared" ref="L1021:L1023" si="680">J1021&amp;" "&amp;K1021</f>
        <v>1596 mm od</v>
      </c>
      <c r="M1021" s="319">
        <v>2</v>
      </c>
      <c r="N1021" s="271" t="s">
        <v>249</v>
      </c>
      <c r="O1021" s="297">
        <f>LEFT(L1021,SEARCH(" ",L1021,1)-1)*3.142*M1021*2*0.001</f>
        <v>20.058527999999999</v>
      </c>
      <c r="P1021" s="271" t="s">
        <v>249</v>
      </c>
      <c r="Q1021" s="324">
        <f>VLOOKUP(H1021,BM!$B$3:$Y$62,22,FALSE)</f>
        <v>1.6</v>
      </c>
      <c r="R1021" s="271" t="s">
        <v>162</v>
      </c>
      <c r="S1021" s="290">
        <f t="shared" si="678"/>
        <v>32.0936448</v>
      </c>
      <c r="T1021" s="275">
        <v>1</v>
      </c>
      <c r="U1021" s="290">
        <f t="shared" si="649"/>
        <v>33.090000000000003</v>
      </c>
      <c r="V1021" s="276" t="s">
        <v>48</v>
      </c>
    </row>
    <row r="1022" spans="1:22" s="172" customFormat="1" ht="20.25" customHeight="1">
      <c r="A1022" s="263" t="str">
        <f t="shared" si="644"/>
        <v/>
      </c>
      <c r="B1022" s="263"/>
      <c r="C1022" s="264">
        <f t="shared" si="615"/>
        <v>1021</v>
      </c>
      <c r="D1022" s="277" t="s">
        <v>1576</v>
      </c>
      <c r="E1022" s="293">
        <f t="shared" si="679"/>
        <v>1020</v>
      </c>
      <c r="F1022" s="267" t="s">
        <v>394</v>
      </c>
      <c r="G1022" s="267"/>
      <c r="H1022" s="268"/>
      <c r="I1022" s="268"/>
      <c r="J1022" s="308">
        <f>J1021</f>
        <v>1596</v>
      </c>
      <c r="K1022" s="308" t="str">
        <f>K1021</f>
        <v>mm od</v>
      </c>
      <c r="L1022" s="367" t="str">
        <f t="shared" si="680"/>
        <v>1596 mm od</v>
      </c>
      <c r="M1022" s="319">
        <v>2</v>
      </c>
      <c r="N1022" s="271" t="s">
        <v>81</v>
      </c>
      <c r="O1022" s="321">
        <f>M1022</f>
        <v>2</v>
      </c>
      <c r="P1022" s="271" t="s">
        <v>81</v>
      </c>
      <c r="Q1022" s="273">
        <v>8</v>
      </c>
      <c r="R1022" s="271" t="s">
        <v>162</v>
      </c>
      <c r="S1022" s="290">
        <f t="shared" si="678"/>
        <v>16</v>
      </c>
      <c r="T1022" s="275">
        <v>1</v>
      </c>
      <c r="U1022" s="290">
        <f t="shared" si="649"/>
        <v>17</v>
      </c>
      <c r="V1022" s="276" t="s">
        <v>48</v>
      </c>
    </row>
    <row r="1023" spans="1:22" s="172" customFormat="1" ht="20.25" customHeight="1">
      <c r="A1023" s="263" t="str">
        <f t="shared" si="644"/>
        <v/>
      </c>
      <c r="B1023" s="263"/>
      <c r="C1023" s="264">
        <f t="shared" si="615"/>
        <v>1022</v>
      </c>
      <c r="D1023" s="277" t="s">
        <v>1577</v>
      </c>
      <c r="E1023" s="293">
        <f t="shared" si="679"/>
        <v>1021</v>
      </c>
      <c r="F1023" s="267" t="s">
        <v>396</v>
      </c>
      <c r="G1023" s="267"/>
      <c r="H1023" s="268"/>
      <c r="I1023" s="268"/>
      <c r="J1023" s="308">
        <f>J1022</f>
        <v>1596</v>
      </c>
      <c r="K1023" s="308" t="str">
        <f>K1022</f>
        <v>mm od</v>
      </c>
      <c r="L1023" s="367" t="str">
        <f t="shared" si="680"/>
        <v>1596 mm od</v>
      </c>
      <c r="M1023" s="319">
        <v>2</v>
      </c>
      <c r="N1023" s="271" t="s">
        <v>81</v>
      </c>
      <c r="O1023" s="321">
        <f>M1023</f>
        <v>2</v>
      </c>
      <c r="P1023" s="271" t="s">
        <v>81</v>
      </c>
      <c r="Q1023" s="273">
        <v>6</v>
      </c>
      <c r="R1023" s="271" t="s">
        <v>162</v>
      </c>
      <c r="S1023" s="290">
        <f t="shared" si="678"/>
        <v>12</v>
      </c>
      <c r="T1023" s="275">
        <v>1</v>
      </c>
      <c r="U1023" s="290">
        <f t="shared" si="649"/>
        <v>13</v>
      </c>
      <c r="V1023" s="276" t="s">
        <v>48</v>
      </c>
    </row>
    <row r="1024" spans="1:22" s="172" customFormat="1" ht="20.25" customHeight="1">
      <c r="A1024" s="263" t="str">
        <f t="shared" si="644"/>
        <v/>
      </c>
      <c r="B1024" s="263"/>
      <c r="C1024" s="264">
        <f t="shared" si="615"/>
        <v>1023</v>
      </c>
      <c r="D1024" s="277" t="s">
        <v>1578</v>
      </c>
      <c r="E1024" s="293">
        <f t="shared" si="679"/>
        <v>1022</v>
      </c>
      <c r="F1024" s="267" t="s">
        <v>156</v>
      </c>
      <c r="G1024" s="267"/>
      <c r="H1024" s="316">
        <v>12</v>
      </c>
      <c r="I1024" s="316"/>
      <c r="J1024" s="316">
        <v>11400</v>
      </c>
      <c r="K1024" s="322" t="s">
        <v>79</v>
      </c>
      <c r="L1024" s="367" t="str">
        <f>J1024&amp;" "&amp;K1024</f>
        <v>11400 rmt</v>
      </c>
      <c r="M1024" s="319">
        <v>1</v>
      </c>
      <c r="N1024" s="271" t="s">
        <v>81</v>
      </c>
      <c r="O1024" s="327">
        <f>(300*16+1536*3.142*360^-1*120*2)*2*0.001</f>
        <v>16.034815999999999</v>
      </c>
      <c r="P1024" s="271" t="s">
        <v>249</v>
      </c>
      <c r="Q1024" s="324">
        <f>VLOOKUP(H1024,BM!$B$3:$Y$62,22,FALSE)</f>
        <v>1.6</v>
      </c>
      <c r="R1024" s="271" t="s">
        <v>162</v>
      </c>
      <c r="S1024" s="290">
        <f t="shared" si="678"/>
        <v>25.655705600000001</v>
      </c>
      <c r="T1024" s="275">
        <v>1</v>
      </c>
      <c r="U1024" s="290">
        <f t="shared" si="649"/>
        <v>26.66</v>
      </c>
      <c r="V1024" s="276" t="s">
        <v>48</v>
      </c>
    </row>
    <row r="1025" spans="1:22" s="172" customFormat="1" ht="20.25" customHeight="1">
      <c r="A1025" s="263" t="str">
        <f t="shared" si="644"/>
        <v/>
      </c>
      <c r="B1025" s="263"/>
      <c r="C1025" s="264">
        <f t="shared" si="615"/>
        <v>1024</v>
      </c>
      <c r="D1025" s="277" t="s">
        <v>1579</v>
      </c>
      <c r="E1025" s="293">
        <f t="shared" si="679"/>
        <v>1023</v>
      </c>
      <c r="F1025" s="267" t="s">
        <v>149</v>
      </c>
      <c r="G1025" s="267"/>
      <c r="H1025" s="268"/>
      <c r="I1025" s="268"/>
      <c r="J1025" s="269"/>
      <c r="K1025" s="269"/>
      <c r="L1025" s="269"/>
      <c r="M1025" s="319">
        <v>1</v>
      </c>
      <c r="N1025" s="296" t="s">
        <v>81</v>
      </c>
      <c r="O1025" s="272">
        <v>1</v>
      </c>
      <c r="P1025" s="271" t="s">
        <v>81</v>
      </c>
      <c r="Q1025" s="273">
        <v>8</v>
      </c>
      <c r="R1025" s="271" t="s">
        <v>162</v>
      </c>
      <c r="S1025" s="290">
        <f t="shared" si="678"/>
        <v>8</v>
      </c>
      <c r="T1025" s="275">
        <v>1</v>
      </c>
      <c r="U1025" s="290">
        <f t="shared" si="649"/>
        <v>9</v>
      </c>
      <c r="V1025" s="276" t="s">
        <v>48</v>
      </c>
    </row>
    <row r="1026" spans="1:22" s="172" customFormat="1" ht="20.25" customHeight="1">
      <c r="A1026" s="263">
        <f t="shared" si="644"/>
        <v>1025</v>
      </c>
      <c r="B1026" s="263" t="s">
        <v>1263</v>
      </c>
      <c r="C1026" s="264">
        <f t="shared" si="615"/>
        <v>1025</v>
      </c>
      <c r="D1026" s="265" t="s">
        <v>1580</v>
      </c>
      <c r="E1026" s="279">
        <f>C1019</f>
        <v>1018</v>
      </c>
      <c r="F1026" s="267"/>
      <c r="G1026" s="267"/>
      <c r="H1026" s="268"/>
      <c r="I1026" s="268"/>
      <c r="J1026" s="269"/>
      <c r="K1026" s="269"/>
      <c r="L1026" s="269"/>
      <c r="M1026" s="319"/>
      <c r="N1026" s="271"/>
      <c r="O1026" s="280"/>
      <c r="P1026" s="271"/>
      <c r="Q1026" s="281"/>
      <c r="R1026" s="271"/>
      <c r="S1026" s="312"/>
      <c r="T1026" s="282"/>
      <c r="U1026" s="312"/>
      <c r="V1026" s="276"/>
    </row>
    <row r="1027" spans="1:22" s="172" customFormat="1" ht="20.25" customHeight="1">
      <c r="A1027" s="263" t="str">
        <f t="shared" si="644"/>
        <v/>
      </c>
      <c r="B1027" s="263"/>
      <c r="C1027" s="264">
        <f t="shared" si="615"/>
        <v>1026</v>
      </c>
      <c r="D1027" s="277" t="s">
        <v>1581</v>
      </c>
      <c r="E1027" s="293"/>
      <c r="F1027" s="267" t="s">
        <v>402</v>
      </c>
      <c r="G1027" s="267"/>
      <c r="H1027" s="268"/>
      <c r="I1027" s="268"/>
      <c r="J1027" s="269"/>
      <c r="K1027" s="269"/>
      <c r="L1027" s="269"/>
      <c r="M1027" s="319">
        <v>1</v>
      </c>
      <c r="N1027" s="296" t="s">
        <v>81</v>
      </c>
      <c r="O1027" s="272">
        <v>1</v>
      </c>
      <c r="P1027" s="271" t="s">
        <v>81</v>
      </c>
      <c r="Q1027" s="273">
        <v>4</v>
      </c>
      <c r="R1027" s="271" t="s">
        <v>162</v>
      </c>
      <c r="S1027" s="290">
        <f t="shared" ref="S1027:S1029" si="681">O1027*Q1027</f>
        <v>4</v>
      </c>
      <c r="T1027" s="275">
        <v>1</v>
      </c>
      <c r="U1027" s="290">
        <f t="shared" si="649"/>
        <v>5</v>
      </c>
      <c r="V1027" s="276" t="s">
        <v>48</v>
      </c>
    </row>
    <row r="1028" spans="1:22" s="172" customFormat="1" ht="20.25" customHeight="1">
      <c r="A1028" s="263" t="str">
        <f t="shared" si="644"/>
        <v/>
      </c>
      <c r="B1028" s="263"/>
      <c r="C1028" s="264">
        <f t="shared" si="615"/>
        <v>1027</v>
      </c>
      <c r="D1028" s="277" t="s">
        <v>1582</v>
      </c>
      <c r="E1028" s="293">
        <f t="shared" ref="E1028:E1029" si="682">C1027</f>
        <v>1026</v>
      </c>
      <c r="F1028" s="267" t="s">
        <v>172</v>
      </c>
      <c r="G1028" s="267"/>
      <c r="H1028" s="268"/>
      <c r="I1028" s="268"/>
      <c r="J1028" s="269"/>
      <c r="K1028" s="269"/>
      <c r="L1028" s="269"/>
      <c r="M1028" s="319">
        <v>1</v>
      </c>
      <c r="N1028" s="296" t="s">
        <v>81</v>
      </c>
      <c r="O1028" s="272">
        <v>1</v>
      </c>
      <c r="P1028" s="271" t="s">
        <v>81</v>
      </c>
      <c r="Q1028" s="273">
        <v>4</v>
      </c>
      <c r="R1028" s="271" t="s">
        <v>162</v>
      </c>
      <c r="S1028" s="290">
        <f t="shared" si="681"/>
        <v>4</v>
      </c>
      <c r="T1028" s="275">
        <v>1</v>
      </c>
      <c r="U1028" s="290">
        <f t="shared" si="649"/>
        <v>5</v>
      </c>
      <c r="V1028" s="276" t="s">
        <v>48</v>
      </c>
    </row>
    <row r="1029" spans="1:22" s="172" customFormat="1" ht="20.25" customHeight="1">
      <c r="A1029" s="263" t="str">
        <f t="shared" si="644"/>
        <v/>
      </c>
      <c r="B1029" s="263"/>
      <c r="C1029" s="264">
        <f t="shared" ref="C1029:C1092" si="683">C1028+1</f>
        <v>1028</v>
      </c>
      <c r="D1029" s="277" t="s">
        <v>1583</v>
      </c>
      <c r="E1029" s="293">
        <f t="shared" si="682"/>
        <v>1027</v>
      </c>
      <c r="F1029" s="267" t="s">
        <v>115</v>
      </c>
      <c r="G1029" s="267"/>
      <c r="H1029" s="316">
        <v>12</v>
      </c>
      <c r="I1029" s="316"/>
      <c r="J1029" s="269"/>
      <c r="K1029" s="269"/>
      <c r="L1029" s="269"/>
      <c r="M1029" s="319">
        <v>6</v>
      </c>
      <c r="N1029" s="271" t="s">
        <v>139</v>
      </c>
      <c r="O1029" s="327">
        <f>430*12*0.001</f>
        <v>5.16</v>
      </c>
      <c r="P1029" s="271" t="s">
        <v>249</v>
      </c>
      <c r="Q1029" s="324">
        <f>VLOOKUP(H1029,BM!$B$3:$Y$62,22,FALSE)</f>
        <v>1.6</v>
      </c>
      <c r="R1029" s="271" t="s">
        <v>162</v>
      </c>
      <c r="S1029" s="290">
        <f t="shared" si="681"/>
        <v>8.2560000000000002</v>
      </c>
      <c r="T1029" s="275">
        <v>1</v>
      </c>
      <c r="U1029" s="290">
        <f t="shared" si="649"/>
        <v>9.26</v>
      </c>
      <c r="V1029" s="276" t="s">
        <v>48</v>
      </c>
    </row>
    <row r="1030" spans="1:22" s="172" customFormat="1" ht="20.25" customHeight="1">
      <c r="A1030" s="263">
        <f t="shared" si="644"/>
        <v>1029</v>
      </c>
      <c r="B1030" s="263" t="s">
        <v>1263</v>
      </c>
      <c r="C1030" s="264">
        <f t="shared" si="683"/>
        <v>1029</v>
      </c>
      <c r="D1030" s="265" t="s">
        <v>1584</v>
      </c>
      <c r="E1030" s="333">
        <v>1025</v>
      </c>
      <c r="F1030" s="267"/>
      <c r="G1030" s="267"/>
      <c r="H1030" s="268"/>
      <c r="I1030" s="268"/>
      <c r="J1030" s="269"/>
      <c r="K1030" s="269"/>
      <c r="L1030" s="269"/>
      <c r="M1030" s="319"/>
      <c r="N1030" s="271"/>
      <c r="O1030" s="280"/>
      <c r="P1030" s="271"/>
      <c r="Q1030" s="281"/>
      <c r="R1030" s="271"/>
      <c r="S1030" s="312"/>
      <c r="T1030" s="282"/>
      <c r="U1030" s="312"/>
      <c r="V1030" s="276"/>
    </row>
    <row r="1031" spans="1:22" s="172" customFormat="1" ht="20.25" customHeight="1">
      <c r="A1031" s="263" t="str">
        <f t="shared" si="644"/>
        <v/>
      </c>
      <c r="B1031" s="263"/>
      <c r="C1031" s="264">
        <f t="shared" si="683"/>
        <v>1030</v>
      </c>
      <c r="D1031" s="277" t="s">
        <v>1585</v>
      </c>
      <c r="E1031" s="293"/>
      <c r="F1031" s="267" t="s">
        <v>44</v>
      </c>
      <c r="G1031" s="267"/>
      <c r="H1031" s="316">
        <v>18</v>
      </c>
      <c r="I1031" s="316"/>
      <c r="J1031" s="316">
        <v>6130</v>
      </c>
      <c r="K1031" s="322" t="s">
        <v>1835</v>
      </c>
      <c r="L1031" s="367" t="str">
        <f>J1031&amp;" "&amp;K1031</f>
        <v>6130 lg</v>
      </c>
      <c r="M1031" s="319">
        <v>1</v>
      </c>
      <c r="N1031" s="296" t="s">
        <v>81</v>
      </c>
      <c r="O1031" s="272">
        <v>1</v>
      </c>
      <c r="P1031" s="271"/>
      <c r="Q1031" s="273">
        <v>12</v>
      </c>
      <c r="R1031" s="271" t="s">
        <v>162</v>
      </c>
      <c r="S1031" s="290">
        <f t="shared" ref="S1031:S1032" si="684">O1031*Q1031</f>
        <v>12</v>
      </c>
      <c r="T1031" s="275">
        <v>1</v>
      </c>
      <c r="U1031" s="290">
        <f t="shared" si="649"/>
        <v>13</v>
      </c>
      <c r="V1031" s="276" t="s">
        <v>48</v>
      </c>
    </row>
    <row r="1032" spans="1:22" s="172" customFormat="1" ht="20.25" customHeight="1">
      <c r="A1032" s="263" t="str">
        <f t="shared" si="644"/>
        <v/>
      </c>
      <c r="B1032" s="263"/>
      <c r="C1032" s="264">
        <f t="shared" si="683"/>
        <v>1031</v>
      </c>
      <c r="D1032" s="277" t="s">
        <v>1316</v>
      </c>
      <c r="E1032" s="293">
        <f t="shared" ref="E1032" si="685">C1031</f>
        <v>1030</v>
      </c>
      <c r="F1032" s="267" t="s">
        <v>44</v>
      </c>
      <c r="G1032" s="267"/>
      <c r="H1032" s="316">
        <v>18</v>
      </c>
      <c r="I1032" s="316"/>
      <c r="J1032" s="308">
        <f>J1031</f>
        <v>6130</v>
      </c>
      <c r="K1032" s="308" t="str">
        <f>K1031</f>
        <v>lg</v>
      </c>
      <c r="L1032" s="367" t="str">
        <f t="shared" ref="L1032" si="686">J1032&amp;" "&amp;K1032</f>
        <v>6130 lg</v>
      </c>
      <c r="M1032" s="326">
        <f>M1031</f>
        <v>1</v>
      </c>
      <c r="N1032" s="331" t="str">
        <f>N1031</f>
        <v>Nos</v>
      </c>
      <c r="O1032" s="327">
        <f>O1031</f>
        <v>1</v>
      </c>
      <c r="P1032" s="271"/>
      <c r="Q1032" s="273">
        <v>1</v>
      </c>
      <c r="R1032" s="271" t="s">
        <v>41</v>
      </c>
      <c r="S1032" s="290">
        <f t="shared" si="684"/>
        <v>1</v>
      </c>
      <c r="T1032" s="275"/>
      <c r="U1032" s="290">
        <f t="shared" si="649"/>
        <v>1</v>
      </c>
      <c r="V1032" s="276" t="s">
        <v>42</v>
      </c>
    </row>
    <row r="1033" spans="1:22" s="172" customFormat="1" ht="20.25" customHeight="1">
      <c r="A1033" s="263">
        <f t="shared" si="644"/>
        <v>1032</v>
      </c>
      <c r="B1033" s="263" t="s">
        <v>1263</v>
      </c>
      <c r="C1033" s="264">
        <f t="shared" si="683"/>
        <v>1032</v>
      </c>
      <c r="D1033" s="265" t="s">
        <v>1586</v>
      </c>
      <c r="E1033" s="279"/>
      <c r="F1033" s="267"/>
      <c r="G1033" s="267"/>
      <c r="H1033" s="268"/>
      <c r="I1033" s="268"/>
      <c r="J1033" s="269"/>
      <c r="K1033" s="269"/>
      <c r="L1033" s="269"/>
      <c r="M1033" s="319"/>
      <c r="N1033" s="271"/>
      <c r="O1033" s="280"/>
      <c r="P1033" s="271"/>
      <c r="Q1033" s="281"/>
      <c r="R1033" s="271"/>
      <c r="S1033" s="312"/>
      <c r="T1033" s="282"/>
      <c r="U1033" s="312"/>
      <c r="V1033" s="276"/>
    </row>
    <row r="1034" spans="1:22" s="172" customFormat="1" ht="20.25" customHeight="1">
      <c r="A1034" s="263">
        <f t="shared" si="644"/>
        <v>1033</v>
      </c>
      <c r="B1034" s="263" t="s">
        <v>1263</v>
      </c>
      <c r="C1034" s="264">
        <f t="shared" si="683"/>
        <v>1033</v>
      </c>
      <c r="D1034" s="265" t="s">
        <v>1587</v>
      </c>
      <c r="E1034" s="279">
        <f>C1102</f>
        <v>1101</v>
      </c>
      <c r="F1034" s="267"/>
      <c r="G1034" s="267"/>
      <c r="H1034" s="268"/>
      <c r="I1034" s="268"/>
      <c r="J1034" s="269"/>
      <c r="K1034" s="269"/>
      <c r="L1034" s="269"/>
      <c r="M1034" s="319"/>
      <c r="N1034" s="271"/>
      <c r="O1034" s="280"/>
      <c r="P1034" s="271"/>
      <c r="Q1034" s="281"/>
      <c r="R1034" s="271"/>
      <c r="S1034" s="312"/>
      <c r="T1034" s="282"/>
      <c r="U1034" s="312"/>
      <c r="V1034" s="276"/>
    </row>
    <row r="1035" spans="1:22" s="172" customFormat="1" ht="20.25" customHeight="1">
      <c r="A1035" s="263" t="str">
        <f t="shared" si="644"/>
        <v/>
      </c>
      <c r="B1035" s="263"/>
      <c r="C1035" s="264">
        <f t="shared" si="683"/>
        <v>1034</v>
      </c>
      <c r="D1035" s="277" t="s">
        <v>1588</v>
      </c>
      <c r="E1035" s="293"/>
      <c r="F1035" s="267" t="s">
        <v>37</v>
      </c>
      <c r="G1035" s="267"/>
      <c r="H1035" s="268"/>
      <c r="I1035" s="268"/>
      <c r="J1035" s="269"/>
      <c r="K1035" s="269"/>
      <c r="L1035" s="269"/>
      <c r="M1035" s="319">
        <v>1</v>
      </c>
      <c r="N1035" s="296" t="s">
        <v>81</v>
      </c>
      <c r="O1035" s="272">
        <v>1</v>
      </c>
      <c r="P1035" s="296" t="s">
        <v>81</v>
      </c>
      <c r="Q1035" s="273">
        <v>4</v>
      </c>
      <c r="R1035" s="271" t="s">
        <v>41</v>
      </c>
      <c r="S1035" s="290">
        <f t="shared" ref="S1035:S1040" si="687">O1035*Q1035</f>
        <v>4</v>
      </c>
      <c r="T1035" s="275"/>
      <c r="U1035" s="290">
        <f t="shared" si="649"/>
        <v>4</v>
      </c>
      <c r="V1035" s="276" t="s">
        <v>42</v>
      </c>
    </row>
    <row r="1036" spans="1:22" s="172" customFormat="1" ht="20.25" customHeight="1">
      <c r="A1036" s="263" t="str">
        <f t="shared" si="644"/>
        <v/>
      </c>
      <c r="B1036" s="263"/>
      <c r="C1036" s="264">
        <f t="shared" si="683"/>
        <v>1035</v>
      </c>
      <c r="D1036" s="277" t="s">
        <v>1589</v>
      </c>
      <c r="E1036" s="293">
        <f t="shared" ref="E1036:E1040" si="688">C1035</f>
        <v>1034</v>
      </c>
      <c r="F1036" s="267" t="s">
        <v>201</v>
      </c>
      <c r="G1036" s="267"/>
      <c r="H1036" s="316">
        <v>18</v>
      </c>
      <c r="I1036" s="316"/>
      <c r="J1036" s="316">
        <v>831</v>
      </c>
      <c r="K1036" s="322" t="s">
        <v>1831</v>
      </c>
      <c r="L1036" s="367" t="str">
        <f>J1036&amp;" "&amp;K1036</f>
        <v>831 mm</v>
      </c>
      <c r="M1036" s="319">
        <v>1</v>
      </c>
      <c r="N1036" s="271" t="s">
        <v>81</v>
      </c>
      <c r="O1036" s="297">
        <f t="shared" ref="O1036:O1040" si="689">LEFT(L1036,SEARCH(" ",L1036,1)-1)*M1036*0.001</f>
        <v>0.83100000000000007</v>
      </c>
      <c r="P1036" s="271" t="s">
        <v>139</v>
      </c>
      <c r="Q1036" s="324">
        <f>VLOOKUP(H1036,BM!$B$3:$Y$62,2,FALSE)</f>
        <v>0.1</v>
      </c>
      <c r="R1036" s="271" t="s">
        <v>112</v>
      </c>
      <c r="S1036" s="290">
        <f t="shared" si="687"/>
        <v>8.3100000000000007E-2</v>
      </c>
      <c r="T1036" s="275">
        <v>1</v>
      </c>
      <c r="U1036" s="290">
        <f t="shared" si="649"/>
        <v>1.08</v>
      </c>
      <c r="V1036" s="276" t="s">
        <v>48</v>
      </c>
    </row>
    <row r="1037" spans="1:22" s="172" customFormat="1" ht="20.25" customHeight="1">
      <c r="A1037" s="263" t="str">
        <f t="shared" si="644"/>
        <v/>
      </c>
      <c r="B1037" s="263"/>
      <c r="C1037" s="264">
        <f t="shared" si="683"/>
        <v>1036</v>
      </c>
      <c r="D1037" s="277" t="s">
        <v>1590</v>
      </c>
      <c r="E1037" s="293">
        <f t="shared" si="688"/>
        <v>1035</v>
      </c>
      <c r="F1037" s="267" t="s">
        <v>52</v>
      </c>
      <c r="G1037" s="267"/>
      <c r="H1037" s="308">
        <f t="shared" ref="H1037:H1040" si="690">H1036</f>
        <v>18</v>
      </c>
      <c r="I1037" s="308"/>
      <c r="J1037" s="308">
        <f t="shared" ref="J1037:K1037" si="691">J1036</f>
        <v>831</v>
      </c>
      <c r="K1037" s="308" t="str">
        <f t="shared" si="691"/>
        <v>mm</v>
      </c>
      <c r="L1037" s="367" t="str">
        <f t="shared" ref="L1037:L1039" si="692">J1037&amp;" "&amp;K1037</f>
        <v>831 mm</v>
      </c>
      <c r="M1037" s="319">
        <v>1</v>
      </c>
      <c r="N1037" s="271" t="s">
        <v>81</v>
      </c>
      <c r="O1037" s="297">
        <f t="shared" si="689"/>
        <v>0.83100000000000007</v>
      </c>
      <c r="P1037" s="271" t="s">
        <v>139</v>
      </c>
      <c r="Q1037" s="324">
        <f>VLOOKUP(H1037,BM!$B$3:$Y$62,3,FALSE)</f>
        <v>0.25</v>
      </c>
      <c r="R1037" s="271" t="s">
        <v>112</v>
      </c>
      <c r="S1037" s="290">
        <f t="shared" si="687"/>
        <v>0.20775000000000002</v>
      </c>
      <c r="T1037" s="275">
        <v>1</v>
      </c>
      <c r="U1037" s="290">
        <f t="shared" si="649"/>
        <v>1.21</v>
      </c>
      <c r="V1037" s="276" t="s">
        <v>48</v>
      </c>
    </row>
    <row r="1038" spans="1:22" s="172" customFormat="1" ht="20.25" customHeight="1">
      <c r="A1038" s="263" t="str">
        <f t="shared" si="644"/>
        <v/>
      </c>
      <c r="B1038" s="263"/>
      <c r="C1038" s="264">
        <f t="shared" si="683"/>
        <v>1037</v>
      </c>
      <c r="D1038" s="277" t="s">
        <v>1591</v>
      </c>
      <c r="E1038" s="293">
        <f t="shared" si="688"/>
        <v>1036</v>
      </c>
      <c r="F1038" s="267" t="s">
        <v>61</v>
      </c>
      <c r="G1038" s="267"/>
      <c r="H1038" s="308">
        <f t="shared" si="690"/>
        <v>18</v>
      </c>
      <c r="I1038" s="308"/>
      <c r="J1038" s="308">
        <f t="shared" ref="J1038:K1038" si="693">J1037</f>
        <v>831</v>
      </c>
      <c r="K1038" s="308" t="str">
        <f t="shared" si="693"/>
        <v>mm</v>
      </c>
      <c r="L1038" s="367" t="str">
        <f t="shared" si="692"/>
        <v>831 mm</v>
      </c>
      <c r="M1038" s="319">
        <v>1</v>
      </c>
      <c r="N1038" s="271" t="s">
        <v>81</v>
      </c>
      <c r="O1038" s="297">
        <f t="shared" si="689"/>
        <v>0.83100000000000007</v>
      </c>
      <c r="P1038" s="271" t="s">
        <v>139</v>
      </c>
      <c r="Q1038" s="324">
        <f>VLOOKUP(H1038,BM!$B$3:$Y$62,4,FALSE)</f>
        <v>0.15</v>
      </c>
      <c r="R1038" s="271" t="s">
        <v>112</v>
      </c>
      <c r="S1038" s="290">
        <f t="shared" si="687"/>
        <v>0.12465000000000001</v>
      </c>
      <c r="T1038" s="275">
        <v>1</v>
      </c>
      <c r="U1038" s="290">
        <f t="shared" si="649"/>
        <v>1.1200000000000001</v>
      </c>
      <c r="V1038" s="276" t="s">
        <v>48</v>
      </c>
    </row>
    <row r="1039" spans="1:22" s="172" customFormat="1" ht="20.25" customHeight="1">
      <c r="A1039" s="263" t="str">
        <f t="shared" si="644"/>
        <v/>
      </c>
      <c r="B1039" s="263"/>
      <c r="C1039" s="264">
        <f t="shared" si="683"/>
        <v>1038</v>
      </c>
      <c r="D1039" s="277" t="s">
        <v>1592</v>
      </c>
      <c r="E1039" s="293">
        <f t="shared" si="688"/>
        <v>1037</v>
      </c>
      <c r="F1039" s="267" t="s">
        <v>224</v>
      </c>
      <c r="G1039" s="267"/>
      <c r="H1039" s="308">
        <f t="shared" si="690"/>
        <v>18</v>
      </c>
      <c r="I1039" s="308"/>
      <c r="J1039" s="308">
        <f t="shared" ref="J1039:K1039" si="694">J1038</f>
        <v>831</v>
      </c>
      <c r="K1039" s="308" t="str">
        <f t="shared" si="694"/>
        <v>mm</v>
      </c>
      <c r="L1039" s="367" t="str">
        <f t="shared" si="692"/>
        <v>831 mm</v>
      </c>
      <c r="M1039" s="319">
        <v>1</v>
      </c>
      <c r="N1039" s="271" t="s">
        <v>81</v>
      </c>
      <c r="O1039" s="297">
        <f t="shared" si="689"/>
        <v>0.83100000000000007</v>
      </c>
      <c r="P1039" s="271" t="s">
        <v>139</v>
      </c>
      <c r="Q1039" s="324">
        <f>VLOOKUP(H1039,BM!$B$3:$Y$62,5,FALSE)</f>
        <v>0.5</v>
      </c>
      <c r="R1039" s="271" t="s">
        <v>112</v>
      </c>
      <c r="S1039" s="290">
        <f t="shared" si="687"/>
        <v>0.41550000000000004</v>
      </c>
      <c r="T1039" s="275">
        <v>1</v>
      </c>
      <c r="U1039" s="290">
        <f t="shared" si="649"/>
        <v>1.42</v>
      </c>
      <c r="V1039" s="276" t="s">
        <v>48</v>
      </c>
    </row>
    <row r="1040" spans="1:22" s="172" customFormat="1" ht="20.25" customHeight="1">
      <c r="A1040" s="263" t="str">
        <f t="shared" si="644"/>
        <v/>
      </c>
      <c r="B1040" s="263"/>
      <c r="C1040" s="264">
        <f t="shared" si="683"/>
        <v>1039</v>
      </c>
      <c r="D1040" s="277" t="s">
        <v>1593</v>
      </c>
      <c r="E1040" s="293">
        <f t="shared" si="688"/>
        <v>1038</v>
      </c>
      <c r="F1040" s="267" t="s">
        <v>61</v>
      </c>
      <c r="G1040" s="267"/>
      <c r="H1040" s="308">
        <f t="shared" si="690"/>
        <v>18</v>
      </c>
      <c r="I1040" s="308"/>
      <c r="J1040" s="308">
        <f t="shared" ref="J1040:K1040" si="695">J1039</f>
        <v>831</v>
      </c>
      <c r="K1040" s="308" t="str">
        <f t="shared" si="695"/>
        <v>mm</v>
      </c>
      <c r="L1040" s="367" t="str">
        <f t="shared" ref="L1040" si="696">J1040&amp;" "&amp;K1040</f>
        <v>831 mm</v>
      </c>
      <c r="M1040" s="319">
        <v>1</v>
      </c>
      <c r="N1040" s="271" t="s">
        <v>81</v>
      </c>
      <c r="O1040" s="297">
        <f t="shared" si="689"/>
        <v>0.83100000000000007</v>
      </c>
      <c r="P1040" s="271" t="s">
        <v>139</v>
      </c>
      <c r="Q1040" s="324">
        <f>VLOOKUP(H1040,BM!$B$3:$Y$62,6,FALSE)</f>
        <v>1</v>
      </c>
      <c r="R1040" s="271" t="s">
        <v>112</v>
      </c>
      <c r="S1040" s="290">
        <f t="shared" si="687"/>
        <v>0.83100000000000007</v>
      </c>
      <c r="T1040" s="275">
        <v>1</v>
      </c>
      <c r="U1040" s="290">
        <f t="shared" si="649"/>
        <v>1.83</v>
      </c>
      <c r="V1040" s="276" t="s">
        <v>48</v>
      </c>
    </row>
    <row r="1041" spans="1:22" s="172" customFormat="1" ht="20.25" customHeight="1">
      <c r="A1041" s="263">
        <f t="shared" si="644"/>
        <v>1040</v>
      </c>
      <c r="B1041" s="263" t="s">
        <v>1263</v>
      </c>
      <c r="C1041" s="264">
        <f t="shared" si="683"/>
        <v>1040</v>
      </c>
      <c r="D1041" s="265" t="s">
        <v>1594</v>
      </c>
      <c r="E1041" s="279">
        <f>C1034</f>
        <v>1033</v>
      </c>
      <c r="F1041" s="267"/>
      <c r="G1041" s="267"/>
      <c r="H1041" s="268"/>
      <c r="I1041" s="268"/>
      <c r="J1041" s="269"/>
      <c r="K1041" s="269"/>
      <c r="L1041" s="269"/>
      <c r="M1041" s="319"/>
      <c r="N1041" s="271"/>
      <c r="O1041" s="280"/>
      <c r="P1041" s="271"/>
      <c r="Q1041" s="281"/>
      <c r="R1041" s="271"/>
      <c r="S1041" s="312"/>
      <c r="T1041" s="282"/>
      <c r="U1041" s="312"/>
      <c r="V1041" s="276"/>
    </row>
    <row r="1042" spans="1:22" s="172" customFormat="1" ht="20.25" customHeight="1">
      <c r="A1042" s="263" t="str">
        <f t="shared" si="644"/>
        <v/>
      </c>
      <c r="B1042" s="263"/>
      <c r="C1042" s="264">
        <f t="shared" si="683"/>
        <v>1041</v>
      </c>
      <c r="D1042" s="277" t="s">
        <v>1595</v>
      </c>
      <c r="E1042" s="293"/>
      <c r="F1042" s="267" t="s">
        <v>286</v>
      </c>
      <c r="G1042" s="267"/>
      <c r="H1042" s="308">
        <f>H1040</f>
        <v>18</v>
      </c>
      <c r="I1042" s="308"/>
      <c r="J1042" s="308">
        <f>J1040</f>
        <v>831</v>
      </c>
      <c r="K1042" s="308" t="str">
        <f>K1040</f>
        <v>mm</v>
      </c>
      <c r="L1042" s="367" t="str">
        <f t="shared" ref="L1042:L1045" si="697">J1042&amp;" "&amp;K1042</f>
        <v>831 mm</v>
      </c>
      <c r="M1042" s="319">
        <v>1</v>
      </c>
      <c r="N1042" s="271" t="s">
        <v>81</v>
      </c>
      <c r="O1042" s="272">
        <v>1</v>
      </c>
      <c r="P1042" s="271" t="s">
        <v>139</v>
      </c>
      <c r="Q1042" s="273">
        <v>3</v>
      </c>
      <c r="R1042" s="271" t="s">
        <v>112</v>
      </c>
      <c r="S1042" s="290">
        <f t="shared" ref="S1042:S1045" si="698">O1042*Q1042</f>
        <v>3</v>
      </c>
      <c r="T1042" s="275">
        <v>1</v>
      </c>
      <c r="U1042" s="290">
        <f t="shared" si="649"/>
        <v>4</v>
      </c>
      <c r="V1042" s="276" t="s">
        <v>48</v>
      </c>
    </row>
    <row r="1043" spans="1:22" s="172" customFormat="1" ht="20.25" customHeight="1">
      <c r="A1043" s="263" t="str">
        <f t="shared" si="644"/>
        <v/>
      </c>
      <c r="B1043" s="263"/>
      <c r="C1043" s="264">
        <f t="shared" si="683"/>
        <v>1042</v>
      </c>
      <c r="D1043" s="277" t="s">
        <v>1596</v>
      </c>
      <c r="E1043" s="293">
        <f t="shared" ref="E1043:E1045" si="699">C1042</f>
        <v>1041</v>
      </c>
      <c r="F1043" s="267" t="s">
        <v>420</v>
      </c>
      <c r="G1043" s="267"/>
      <c r="H1043" s="308">
        <f t="shared" ref="H1043:H1045" si="700">H1042</f>
        <v>18</v>
      </c>
      <c r="I1043" s="308"/>
      <c r="J1043" s="308">
        <f t="shared" ref="J1043:K1043" si="701">J1042</f>
        <v>831</v>
      </c>
      <c r="K1043" s="308" t="str">
        <f t="shared" si="701"/>
        <v>mm</v>
      </c>
      <c r="L1043" s="367" t="str">
        <f t="shared" si="697"/>
        <v>831 mm</v>
      </c>
      <c r="M1043" s="319">
        <v>1</v>
      </c>
      <c r="N1043" s="271" t="s">
        <v>81</v>
      </c>
      <c r="O1043" s="297">
        <f>LEFT(L1043,SEARCH(" ",L1043,1)-1)*M1043*0.001*2</f>
        <v>1.6620000000000001</v>
      </c>
      <c r="P1043" s="271" t="s">
        <v>139</v>
      </c>
      <c r="Q1043" s="324">
        <f>VLOOKUP(H1043,BM!$B$3:$Y$62,8,FALSE)</f>
        <v>0.3</v>
      </c>
      <c r="R1043" s="271" t="s">
        <v>112</v>
      </c>
      <c r="S1043" s="290">
        <f t="shared" si="698"/>
        <v>0.49860000000000004</v>
      </c>
      <c r="T1043" s="275">
        <v>1</v>
      </c>
      <c r="U1043" s="290">
        <f t="shared" si="649"/>
        <v>1.5</v>
      </c>
      <c r="V1043" s="276" t="s">
        <v>48</v>
      </c>
    </row>
    <row r="1044" spans="1:22" s="172" customFormat="1" ht="20.25" customHeight="1">
      <c r="A1044" s="263" t="str">
        <f t="shared" si="644"/>
        <v/>
      </c>
      <c r="B1044" s="263"/>
      <c r="C1044" s="264">
        <f t="shared" si="683"/>
        <v>1043</v>
      </c>
      <c r="D1044" s="277" t="s">
        <v>1597</v>
      </c>
      <c r="E1044" s="293">
        <f t="shared" si="699"/>
        <v>1042</v>
      </c>
      <c r="F1044" s="267" t="s">
        <v>348</v>
      </c>
      <c r="G1044" s="267"/>
      <c r="H1044" s="308">
        <f t="shared" si="700"/>
        <v>18</v>
      </c>
      <c r="I1044" s="308"/>
      <c r="J1044" s="308">
        <f t="shared" ref="J1044:K1044" si="702">J1043</f>
        <v>831</v>
      </c>
      <c r="K1044" s="308" t="str">
        <f t="shared" si="702"/>
        <v>mm</v>
      </c>
      <c r="L1044" s="367" t="str">
        <f t="shared" si="697"/>
        <v>831 mm</v>
      </c>
      <c r="M1044" s="319">
        <v>1</v>
      </c>
      <c r="N1044" s="271" t="s">
        <v>81</v>
      </c>
      <c r="O1044" s="297">
        <f>LEFT(L1044,SEARCH(" ",L1044,1)-1)*M1044*0.001*2</f>
        <v>1.6620000000000001</v>
      </c>
      <c r="P1044" s="271" t="s">
        <v>139</v>
      </c>
      <c r="Q1044" s="324">
        <f>VLOOKUP(H1044,BM!$B$3:$Y$62,9,FALSE)</f>
        <v>1</v>
      </c>
      <c r="R1044" s="271" t="s">
        <v>112</v>
      </c>
      <c r="S1044" s="290">
        <f t="shared" si="698"/>
        <v>1.6620000000000001</v>
      </c>
      <c r="T1044" s="275">
        <v>1</v>
      </c>
      <c r="U1044" s="290">
        <f t="shared" si="649"/>
        <v>2.66</v>
      </c>
      <c r="V1044" s="276" t="s">
        <v>48</v>
      </c>
    </row>
    <row r="1045" spans="1:22" s="172" customFormat="1" ht="20.25" customHeight="1">
      <c r="A1045" s="263" t="str">
        <f t="shared" si="644"/>
        <v/>
      </c>
      <c r="B1045" s="263"/>
      <c r="C1045" s="264">
        <f t="shared" si="683"/>
        <v>1044</v>
      </c>
      <c r="D1045" s="277" t="s">
        <v>1598</v>
      </c>
      <c r="E1045" s="293">
        <f t="shared" si="699"/>
        <v>1043</v>
      </c>
      <c r="F1045" s="267" t="s">
        <v>286</v>
      </c>
      <c r="G1045" s="267"/>
      <c r="H1045" s="308">
        <f t="shared" si="700"/>
        <v>18</v>
      </c>
      <c r="I1045" s="308"/>
      <c r="J1045" s="308">
        <f t="shared" ref="J1045:K1045" si="703">J1044</f>
        <v>831</v>
      </c>
      <c r="K1045" s="308" t="str">
        <f t="shared" si="703"/>
        <v>mm</v>
      </c>
      <c r="L1045" s="367" t="str">
        <f t="shared" si="697"/>
        <v>831 mm</v>
      </c>
      <c r="M1045" s="319">
        <v>1</v>
      </c>
      <c r="N1045" s="271" t="s">
        <v>81</v>
      </c>
      <c r="O1045" s="305">
        <v>1</v>
      </c>
      <c r="P1045" s="296" t="s">
        <v>81</v>
      </c>
      <c r="Q1045" s="273">
        <v>3</v>
      </c>
      <c r="R1045" s="271" t="s">
        <v>112</v>
      </c>
      <c r="S1045" s="290">
        <f t="shared" si="698"/>
        <v>3</v>
      </c>
      <c r="T1045" s="275">
        <v>1</v>
      </c>
      <c r="U1045" s="290">
        <f t="shared" si="649"/>
        <v>4</v>
      </c>
      <c r="V1045" s="276" t="s">
        <v>48</v>
      </c>
    </row>
    <row r="1046" spans="1:22" s="172" customFormat="1" ht="20.25" customHeight="1">
      <c r="A1046" s="263">
        <f t="shared" si="644"/>
        <v>1045</v>
      </c>
      <c r="B1046" s="263" t="s">
        <v>1263</v>
      </c>
      <c r="C1046" s="264">
        <f t="shared" si="683"/>
        <v>1045</v>
      </c>
      <c r="D1046" s="265" t="s">
        <v>1599</v>
      </c>
      <c r="E1046" s="279">
        <f>C1041</f>
        <v>1040</v>
      </c>
      <c r="F1046" s="267"/>
      <c r="G1046" s="267"/>
      <c r="H1046" s="268"/>
      <c r="I1046" s="268"/>
      <c r="J1046" s="269"/>
      <c r="K1046" s="269"/>
      <c r="L1046" s="269"/>
      <c r="M1046" s="319"/>
      <c r="N1046" s="271"/>
      <c r="O1046" s="280"/>
      <c r="P1046" s="271"/>
      <c r="Q1046" s="281"/>
      <c r="R1046" s="271"/>
      <c r="S1046" s="312"/>
      <c r="T1046" s="282"/>
      <c r="U1046" s="312"/>
      <c r="V1046" s="276"/>
    </row>
    <row r="1047" spans="1:22" s="172" customFormat="1" ht="20.25" customHeight="1">
      <c r="A1047" s="263" t="str">
        <f t="shared" si="644"/>
        <v/>
      </c>
      <c r="B1047" s="263"/>
      <c r="C1047" s="264">
        <f t="shared" si="683"/>
        <v>1046</v>
      </c>
      <c r="D1047" s="277" t="s">
        <v>1600</v>
      </c>
      <c r="E1047" s="293"/>
      <c r="F1047" s="267" t="s">
        <v>348</v>
      </c>
      <c r="G1047" s="267"/>
      <c r="H1047" s="316">
        <v>18</v>
      </c>
      <c r="I1047" s="316"/>
      <c r="J1047" s="308">
        <f>J1045</f>
        <v>831</v>
      </c>
      <c r="K1047" s="308" t="str">
        <f>K1045</f>
        <v>mm</v>
      </c>
      <c r="L1047" s="367" t="str">
        <f t="shared" ref="L1047:L1048" si="704">J1047&amp;" "&amp;K1047</f>
        <v>831 mm</v>
      </c>
      <c r="M1047" s="319">
        <v>1</v>
      </c>
      <c r="N1047" s="271" t="s">
        <v>81</v>
      </c>
      <c r="O1047" s="297">
        <f>LEFT(L1047,SEARCH(" ",L1047,1)-1)*M1047*0.001*2</f>
        <v>1.6620000000000001</v>
      </c>
      <c r="P1047" s="271" t="s">
        <v>139</v>
      </c>
      <c r="Q1047" s="324">
        <f>VLOOKUP(H1047,BM!$B$3:$Y$62,9,FALSE)</f>
        <v>1</v>
      </c>
      <c r="R1047" s="271" t="s">
        <v>112</v>
      </c>
      <c r="S1047" s="290">
        <f t="shared" ref="S1047:S1048" si="705">O1047*Q1047</f>
        <v>1.6620000000000001</v>
      </c>
      <c r="T1047" s="275">
        <v>1</v>
      </c>
      <c r="U1047" s="290">
        <f t="shared" si="649"/>
        <v>2.66</v>
      </c>
      <c r="V1047" s="276" t="s">
        <v>48</v>
      </c>
    </row>
    <row r="1048" spans="1:22" s="172" customFormat="1" ht="20.25" customHeight="1">
      <c r="A1048" s="263" t="str">
        <f t="shared" si="644"/>
        <v/>
      </c>
      <c r="B1048" s="263"/>
      <c r="C1048" s="264">
        <f t="shared" si="683"/>
        <v>1047</v>
      </c>
      <c r="D1048" s="277" t="s">
        <v>1601</v>
      </c>
      <c r="E1048" s="293">
        <f t="shared" ref="E1048" si="706">C1047</f>
        <v>1046</v>
      </c>
      <c r="F1048" s="267" t="s">
        <v>111</v>
      </c>
      <c r="G1048" s="267"/>
      <c r="H1048" s="316">
        <v>18</v>
      </c>
      <c r="I1048" s="316"/>
      <c r="J1048" s="308">
        <f>J1047</f>
        <v>831</v>
      </c>
      <c r="K1048" s="308" t="str">
        <f>K1047</f>
        <v>mm</v>
      </c>
      <c r="L1048" s="367" t="str">
        <f t="shared" si="704"/>
        <v>831 mm</v>
      </c>
      <c r="M1048" s="319">
        <v>1</v>
      </c>
      <c r="N1048" s="271" t="s">
        <v>81</v>
      </c>
      <c r="O1048" s="297">
        <f>LEFT(L1048,SEARCH(" ",L1048,1)-1)*M1048*0.001</f>
        <v>0.83100000000000007</v>
      </c>
      <c r="P1048" s="271" t="s">
        <v>139</v>
      </c>
      <c r="Q1048" s="324">
        <f>VLOOKUP(H1048,BM!$B$3:$Y$62,10,FALSE)</f>
        <v>1</v>
      </c>
      <c r="R1048" s="271" t="s">
        <v>112</v>
      </c>
      <c r="S1048" s="290">
        <f t="shared" si="705"/>
        <v>0.83100000000000007</v>
      </c>
      <c r="T1048" s="275">
        <v>1</v>
      </c>
      <c r="U1048" s="290">
        <f t="shared" si="649"/>
        <v>1.83</v>
      </c>
      <c r="V1048" s="276" t="s">
        <v>48</v>
      </c>
    </row>
    <row r="1049" spans="1:22" s="172" customFormat="1" ht="20.25" customHeight="1">
      <c r="A1049" s="263">
        <f t="shared" si="644"/>
        <v>1048</v>
      </c>
      <c r="B1049" s="263" t="s">
        <v>1263</v>
      </c>
      <c r="C1049" s="264">
        <f t="shared" si="683"/>
        <v>1048</v>
      </c>
      <c r="D1049" s="265" t="s">
        <v>1602</v>
      </c>
      <c r="E1049" s="279">
        <f>C1046</f>
        <v>1045</v>
      </c>
      <c r="F1049" s="267"/>
      <c r="G1049" s="267"/>
      <c r="H1049" s="268"/>
      <c r="I1049" s="268"/>
      <c r="J1049" s="269"/>
      <c r="K1049" s="269"/>
      <c r="L1049" s="269"/>
      <c r="M1049" s="319"/>
      <c r="N1049" s="271"/>
      <c r="O1049" s="280"/>
      <c r="P1049" s="271"/>
      <c r="Q1049" s="281"/>
      <c r="R1049" s="271"/>
      <c r="S1049" s="312"/>
      <c r="T1049" s="282"/>
      <c r="U1049" s="312"/>
      <c r="V1049" s="276"/>
    </row>
    <row r="1050" spans="1:22" s="172" customFormat="1" ht="20.25" customHeight="1">
      <c r="A1050" s="263" t="str">
        <f t="shared" si="644"/>
        <v/>
      </c>
      <c r="B1050" s="263"/>
      <c r="C1050" s="264">
        <f t="shared" si="683"/>
        <v>1049</v>
      </c>
      <c r="D1050" s="277" t="s">
        <v>1603</v>
      </c>
      <c r="E1050" s="293"/>
      <c r="F1050" s="267" t="s">
        <v>201</v>
      </c>
      <c r="G1050" s="267"/>
      <c r="H1050" s="316">
        <v>18</v>
      </c>
      <c r="I1050" s="316"/>
      <c r="J1050" s="308">
        <f>J1048</f>
        <v>831</v>
      </c>
      <c r="K1050" s="308" t="str">
        <f>K1048</f>
        <v>mm</v>
      </c>
      <c r="L1050" s="367" t="str">
        <f t="shared" ref="L1050:L1053" si="707">J1050&amp;" "&amp;K1050</f>
        <v>831 mm</v>
      </c>
      <c r="M1050" s="319">
        <v>1</v>
      </c>
      <c r="N1050" s="271" t="s">
        <v>81</v>
      </c>
      <c r="O1050" s="272">
        <v>1</v>
      </c>
      <c r="P1050" s="271" t="s">
        <v>139</v>
      </c>
      <c r="Q1050" s="273">
        <v>1</v>
      </c>
      <c r="R1050" s="271" t="s">
        <v>112</v>
      </c>
      <c r="S1050" s="290">
        <f t="shared" ref="S1050:S1055" si="708">O1050*Q1050</f>
        <v>1</v>
      </c>
      <c r="T1050" s="275">
        <v>1</v>
      </c>
      <c r="U1050" s="290">
        <f t="shared" si="649"/>
        <v>2</v>
      </c>
      <c r="V1050" s="276" t="s">
        <v>48</v>
      </c>
    </row>
    <row r="1051" spans="1:22" s="172" customFormat="1" ht="20.25" customHeight="1">
      <c r="A1051" s="263" t="str">
        <f t="shared" si="644"/>
        <v/>
      </c>
      <c r="B1051" s="263"/>
      <c r="C1051" s="264">
        <f t="shared" si="683"/>
        <v>1050</v>
      </c>
      <c r="D1051" s="277" t="s">
        <v>1604</v>
      </c>
      <c r="E1051" s="293">
        <f t="shared" ref="E1051:E1055" si="709">C1050</f>
        <v>1049</v>
      </c>
      <c r="F1051" s="267" t="s">
        <v>115</v>
      </c>
      <c r="G1051" s="267"/>
      <c r="H1051" s="316">
        <v>12</v>
      </c>
      <c r="I1051" s="316"/>
      <c r="J1051" s="308">
        <f t="shared" ref="J1051" si="710">J1050</f>
        <v>831</v>
      </c>
      <c r="K1051" s="308" t="str">
        <f t="shared" ref="K1051:L1055" si="711">K1050</f>
        <v>mm</v>
      </c>
      <c r="L1051" s="367" t="str">
        <f t="shared" si="707"/>
        <v>831 mm</v>
      </c>
      <c r="M1051" s="319">
        <v>1</v>
      </c>
      <c r="N1051" s="271" t="s">
        <v>81</v>
      </c>
      <c r="O1051" s="297">
        <f t="shared" ref="O1051:O1054" si="712">LEFT(L1051,SEARCH(" ",L1051,1)-1)*M1051*0.001</f>
        <v>0.83100000000000007</v>
      </c>
      <c r="P1051" s="271" t="s">
        <v>139</v>
      </c>
      <c r="Q1051" s="324">
        <f>VLOOKUP(H1051,BM!$B$3:$Y$62,12,FALSE)</f>
        <v>2.5</v>
      </c>
      <c r="R1051" s="271" t="s">
        <v>112</v>
      </c>
      <c r="S1051" s="290">
        <f t="shared" si="708"/>
        <v>2.0775000000000001</v>
      </c>
      <c r="T1051" s="275">
        <v>1</v>
      </c>
      <c r="U1051" s="290">
        <f t="shared" si="649"/>
        <v>3.08</v>
      </c>
      <c r="V1051" s="276" t="s">
        <v>48</v>
      </c>
    </row>
    <row r="1052" spans="1:22" s="172" customFormat="1" ht="20.25" customHeight="1">
      <c r="A1052" s="263" t="str">
        <f t="shared" ref="A1052:A1115" si="713">IF(B1052="Yes",C1052,"")</f>
        <v/>
      </c>
      <c r="B1052" s="263"/>
      <c r="C1052" s="264">
        <f t="shared" si="683"/>
        <v>1051</v>
      </c>
      <c r="D1052" s="277" t="s">
        <v>1605</v>
      </c>
      <c r="E1052" s="293">
        <f t="shared" si="709"/>
        <v>1050</v>
      </c>
      <c r="F1052" s="267" t="s">
        <v>121</v>
      </c>
      <c r="G1052" s="267"/>
      <c r="H1052" s="316">
        <v>18</v>
      </c>
      <c r="I1052" s="316"/>
      <c r="J1052" s="308">
        <f t="shared" ref="J1052" si="714">J1051</f>
        <v>831</v>
      </c>
      <c r="K1052" s="308" t="str">
        <f t="shared" si="711"/>
        <v>mm</v>
      </c>
      <c r="L1052" s="367" t="str">
        <f t="shared" si="707"/>
        <v>831 mm</v>
      </c>
      <c r="M1052" s="319">
        <v>1</v>
      </c>
      <c r="N1052" s="271" t="s">
        <v>81</v>
      </c>
      <c r="O1052" s="297">
        <f t="shared" si="712"/>
        <v>0.83100000000000007</v>
      </c>
      <c r="P1052" s="271" t="s">
        <v>139</v>
      </c>
      <c r="Q1052" s="324">
        <f>VLOOKUP(H1052,BM!$B$3:$Y$62,18,FALSE)</f>
        <v>1</v>
      </c>
      <c r="R1052" s="271" t="s">
        <v>112</v>
      </c>
      <c r="S1052" s="290">
        <f t="shared" si="708"/>
        <v>0.83100000000000007</v>
      </c>
      <c r="T1052" s="275">
        <v>1</v>
      </c>
      <c r="U1052" s="290">
        <f t="shared" si="649"/>
        <v>1.83</v>
      </c>
      <c r="V1052" s="276" t="s">
        <v>48</v>
      </c>
    </row>
    <row r="1053" spans="1:22" s="172" customFormat="1" ht="20.25" customHeight="1">
      <c r="A1053" s="263" t="str">
        <f t="shared" si="713"/>
        <v/>
      </c>
      <c r="B1053" s="263"/>
      <c r="C1053" s="264">
        <f t="shared" si="683"/>
        <v>1052</v>
      </c>
      <c r="D1053" s="277" t="s">
        <v>1606</v>
      </c>
      <c r="E1053" s="293">
        <f t="shared" si="709"/>
        <v>1051</v>
      </c>
      <c r="F1053" s="267" t="s">
        <v>115</v>
      </c>
      <c r="G1053" s="267"/>
      <c r="H1053" s="316">
        <v>6</v>
      </c>
      <c r="I1053" s="316"/>
      <c r="J1053" s="308">
        <f t="shared" ref="J1053" si="715">J1052</f>
        <v>831</v>
      </c>
      <c r="K1053" s="308" t="str">
        <f t="shared" si="711"/>
        <v>mm</v>
      </c>
      <c r="L1053" s="367" t="str">
        <f t="shared" si="707"/>
        <v>831 mm</v>
      </c>
      <c r="M1053" s="319">
        <v>1</v>
      </c>
      <c r="N1053" s="271" t="s">
        <v>81</v>
      </c>
      <c r="O1053" s="297">
        <f t="shared" si="712"/>
        <v>0.83100000000000007</v>
      </c>
      <c r="P1053" s="271" t="s">
        <v>139</v>
      </c>
      <c r="Q1053" s="324">
        <f>VLOOKUP(H1053,BM!$B$3:$Y$62,12,FALSE)</f>
        <v>0.9</v>
      </c>
      <c r="R1053" s="271" t="s">
        <v>112</v>
      </c>
      <c r="S1053" s="290">
        <f t="shared" si="708"/>
        <v>0.74790000000000012</v>
      </c>
      <c r="T1053" s="275">
        <v>1</v>
      </c>
      <c r="U1053" s="290">
        <f t="shared" si="649"/>
        <v>1.75</v>
      </c>
      <c r="V1053" s="276" t="s">
        <v>48</v>
      </c>
    </row>
    <row r="1054" spans="1:22" s="172" customFormat="1" ht="20.25" customHeight="1">
      <c r="A1054" s="263" t="str">
        <f t="shared" si="713"/>
        <v/>
      </c>
      <c r="B1054" s="263"/>
      <c r="C1054" s="264">
        <f t="shared" si="683"/>
        <v>1053</v>
      </c>
      <c r="D1054" s="277" t="s">
        <v>1607</v>
      </c>
      <c r="E1054" s="293">
        <f t="shared" si="709"/>
        <v>1052</v>
      </c>
      <c r="F1054" s="267" t="s">
        <v>61</v>
      </c>
      <c r="G1054" s="267"/>
      <c r="H1054" s="316">
        <v>6</v>
      </c>
      <c r="I1054" s="316"/>
      <c r="J1054" s="308">
        <f t="shared" ref="J1054" si="716">J1053</f>
        <v>831</v>
      </c>
      <c r="K1054" s="308" t="str">
        <f t="shared" si="711"/>
        <v>mm</v>
      </c>
      <c r="L1054" s="367" t="str">
        <f t="shared" ref="L1054" si="717">J1054&amp;" "&amp;K1054</f>
        <v>831 mm</v>
      </c>
      <c r="M1054" s="319">
        <v>1</v>
      </c>
      <c r="N1054" s="271" t="s">
        <v>81</v>
      </c>
      <c r="O1054" s="297">
        <f t="shared" si="712"/>
        <v>0.83100000000000007</v>
      </c>
      <c r="P1054" s="271" t="s">
        <v>139</v>
      </c>
      <c r="Q1054" s="324">
        <f>VLOOKUP(H1054,BM!$B$3:$Y$62,20,FALSE)</f>
        <v>0.5</v>
      </c>
      <c r="R1054" s="271" t="s">
        <v>112</v>
      </c>
      <c r="S1054" s="290">
        <f t="shared" si="708"/>
        <v>0.41550000000000004</v>
      </c>
      <c r="T1054" s="275">
        <v>1</v>
      </c>
      <c r="U1054" s="290">
        <f t="shared" si="649"/>
        <v>1.42</v>
      </c>
      <c r="V1054" s="276" t="s">
        <v>48</v>
      </c>
    </row>
    <row r="1055" spans="1:22" s="172" customFormat="1" ht="20.25" customHeight="1">
      <c r="A1055" s="263" t="str">
        <f t="shared" si="713"/>
        <v/>
      </c>
      <c r="B1055" s="263"/>
      <c r="C1055" s="264">
        <f t="shared" si="683"/>
        <v>1054</v>
      </c>
      <c r="D1055" s="277" t="s">
        <v>1608</v>
      </c>
      <c r="E1055" s="293">
        <f t="shared" si="709"/>
        <v>1053</v>
      </c>
      <c r="F1055" s="267" t="s">
        <v>286</v>
      </c>
      <c r="G1055" s="267"/>
      <c r="H1055" s="316">
        <v>18</v>
      </c>
      <c r="I1055" s="316"/>
      <c r="J1055" s="308">
        <f t="shared" ref="J1055" si="718">J1054</f>
        <v>831</v>
      </c>
      <c r="K1055" s="308" t="str">
        <f t="shared" si="711"/>
        <v>mm</v>
      </c>
      <c r="L1055" s="367" t="str">
        <f t="shared" ref="L1055" si="719">J1055&amp;" "&amp;K1055</f>
        <v>831 mm</v>
      </c>
      <c r="M1055" s="319">
        <v>1</v>
      </c>
      <c r="N1055" s="271" t="s">
        <v>81</v>
      </c>
      <c r="O1055" s="272">
        <v>1</v>
      </c>
      <c r="P1055" s="271" t="s">
        <v>81</v>
      </c>
      <c r="Q1055" s="273">
        <v>3</v>
      </c>
      <c r="R1055" s="271" t="s">
        <v>112</v>
      </c>
      <c r="S1055" s="290">
        <f t="shared" si="708"/>
        <v>3</v>
      </c>
      <c r="T1055" s="275">
        <v>1</v>
      </c>
      <c r="U1055" s="290">
        <f t="shared" ref="U1055:U1118" si="720">ROUND(S1055+T1055,2)</f>
        <v>4</v>
      </c>
      <c r="V1055" s="276" t="s">
        <v>48</v>
      </c>
    </row>
    <row r="1056" spans="1:22" s="172" customFormat="1" ht="20.25" customHeight="1">
      <c r="A1056" s="263">
        <f t="shared" si="713"/>
        <v>1055</v>
      </c>
      <c r="B1056" s="263" t="s">
        <v>1263</v>
      </c>
      <c r="C1056" s="264">
        <f t="shared" si="683"/>
        <v>1055</v>
      </c>
      <c r="D1056" s="265" t="s">
        <v>1609</v>
      </c>
      <c r="E1056" s="279">
        <f>C1049</f>
        <v>1048</v>
      </c>
      <c r="F1056" s="267"/>
      <c r="G1056" s="267"/>
      <c r="H1056" s="268"/>
      <c r="I1056" s="268"/>
      <c r="J1056" s="269"/>
      <c r="K1056" s="269"/>
      <c r="L1056" s="269"/>
      <c r="M1056" s="319"/>
      <c r="N1056" s="271"/>
      <c r="O1056" s="280"/>
      <c r="P1056" s="271"/>
      <c r="Q1056" s="281"/>
      <c r="R1056" s="271"/>
      <c r="S1056" s="312"/>
      <c r="T1056" s="282"/>
      <c r="U1056" s="312"/>
      <c r="V1056" s="276"/>
    </row>
    <row r="1057" spans="1:22" s="172" customFormat="1" ht="20.25" customHeight="1">
      <c r="A1057" s="263" t="str">
        <f t="shared" si="713"/>
        <v/>
      </c>
      <c r="B1057" s="263"/>
      <c r="C1057" s="264">
        <f t="shared" si="683"/>
        <v>1056</v>
      </c>
      <c r="D1057" s="277" t="s">
        <v>1610</v>
      </c>
      <c r="E1057" s="293"/>
      <c r="F1057" s="267" t="s">
        <v>312</v>
      </c>
      <c r="G1057" s="267"/>
      <c r="H1057" s="316">
        <v>18</v>
      </c>
      <c r="I1057" s="316"/>
      <c r="J1057" s="308">
        <f>J1055</f>
        <v>831</v>
      </c>
      <c r="K1057" s="308" t="str">
        <f>K1055</f>
        <v>mm</v>
      </c>
      <c r="L1057" s="367" t="str">
        <f t="shared" ref="L1057" si="721">J1057&amp;" "&amp;K1057</f>
        <v>831 mm</v>
      </c>
      <c r="M1057" s="319">
        <v>1</v>
      </c>
      <c r="N1057" s="296" t="s">
        <v>81</v>
      </c>
      <c r="O1057" s="272">
        <v>1</v>
      </c>
      <c r="P1057" s="296" t="s">
        <v>81</v>
      </c>
      <c r="Q1057" s="273">
        <v>1</v>
      </c>
      <c r="R1057" s="271" t="s">
        <v>435</v>
      </c>
      <c r="S1057" s="290">
        <f t="shared" ref="S1057" si="722">O1057*Q1057</f>
        <v>1</v>
      </c>
      <c r="T1057" s="275"/>
      <c r="U1057" s="290">
        <f t="shared" si="720"/>
        <v>1</v>
      </c>
      <c r="V1057" s="276" t="s">
        <v>42</v>
      </c>
    </row>
    <row r="1058" spans="1:22" s="172" customFormat="1" ht="20.25" customHeight="1">
      <c r="A1058" s="263">
        <f t="shared" si="713"/>
        <v>1057</v>
      </c>
      <c r="B1058" s="263" t="s">
        <v>1263</v>
      </c>
      <c r="C1058" s="264">
        <f t="shared" si="683"/>
        <v>1057</v>
      </c>
      <c r="D1058" s="265" t="s">
        <v>1611</v>
      </c>
      <c r="E1058" s="279">
        <f>C1056</f>
        <v>1055</v>
      </c>
      <c r="F1058" s="267"/>
      <c r="G1058" s="267"/>
      <c r="H1058" s="268"/>
      <c r="I1058" s="268"/>
      <c r="J1058" s="269"/>
      <c r="K1058" s="269"/>
      <c r="L1058" s="269"/>
      <c r="M1058" s="319"/>
      <c r="N1058" s="271"/>
      <c r="O1058" s="280"/>
      <c r="P1058" s="271"/>
      <c r="Q1058" s="281"/>
      <c r="R1058" s="271"/>
      <c r="S1058" s="312"/>
      <c r="T1058" s="282"/>
      <c r="U1058" s="312"/>
      <c r="V1058" s="276"/>
    </row>
    <row r="1059" spans="1:22" s="172" customFormat="1" ht="20.25" customHeight="1">
      <c r="A1059" s="263" t="str">
        <f t="shared" si="713"/>
        <v/>
      </c>
      <c r="B1059" s="263"/>
      <c r="C1059" s="264">
        <f t="shared" si="683"/>
        <v>1058</v>
      </c>
      <c r="D1059" s="277" t="s">
        <v>1612</v>
      </c>
      <c r="E1059" s="293"/>
      <c r="F1059" s="267" t="s">
        <v>348</v>
      </c>
      <c r="G1059" s="267"/>
      <c r="H1059" s="308">
        <f>H1057</f>
        <v>18</v>
      </c>
      <c r="I1059" s="308"/>
      <c r="J1059" s="315">
        <v>1560</v>
      </c>
      <c r="K1059" s="294" t="s">
        <v>1833</v>
      </c>
      <c r="L1059" s="367" t="str">
        <f>J1059&amp;" "&amp;K1059</f>
        <v>1560 mm id</v>
      </c>
      <c r="M1059" s="319">
        <v>1</v>
      </c>
      <c r="N1059" s="271" t="s">
        <v>81</v>
      </c>
      <c r="O1059" s="297">
        <f>LEFT(L1059,SEARCH(" ",L1059,1)-1)*M1059*3.142*0.001*2</f>
        <v>9.8030399999999993</v>
      </c>
      <c r="P1059" s="271" t="s">
        <v>139</v>
      </c>
      <c r="Q1059" s="324">
        <f>VLOOKUP(H1059,BM!$B$3:$Y$62,13,FALSE)</f>
        <v>0.45</v>
      </c>
      <c r="R1059" s="271" t="s">
        <v>112</v>
      </c>
      <c r="S1059" s="290">
        <f t="shared" ref="S1059:S1061" si="723">O1059*Q1059</f>
        <v>4.4113679999999995</v>
      </c>
      <c r="T1059" s="275">
        <v>1</v>
      </c>
      <c r="U1059" s="290">
        <f t="shared" si="720"/>
        <v>5.41</v>
      </c>
      <c r="V1059" s="276" t="s">
        <v>48</v>
      </c>
    </row>
    <row r="1060" spans="1:22" s="172" customFormat="1" ht="20.25" customHeight="1">
      <c r="A1060" s="263" t="str">
        <f t="shared" si="713"/>
        <v/>
      </c>
      <c r="B1060" s="263"/>
      <c r="C1060" s="264">
        <f t="shared" si="683"/>
        <v>1059</v>
      </c>
      <c r="D1060" s="277" t="s">
        <v>1613</v>
      </c>
      <c r="E1060" s="293">
        <f t="shared" ref="E1060:E1061" si="724">C1059</f>
        <v>1058</v>
      </c>
      <c r="F1060" s="267" t="s">
        <v>111</v>
      </c>
      <c r="G1060" s="267"/>
      <c r="H1060" s="316">
        <v>18</v>
      </c>
      <c r="I1060" s="316"/>
      <c r="J1060" s="317">
        <f>J1059</f>
        <v>1560</v>
      </c>
      <c r="K1060" s="317" t="str">
        <f>K1059</f>
        <v>mm id</v>
      </c>
      <c r="L1060" s="367" t="str">
        <f t="shared" ref="L1060" si="725">J1060&amp;" "&amp;K1060</f>
        <v>1560 mm id</v>
      </c>
      <c r="M1060" s="319">
        <v>1</v>
      </c>
      <c r="N1060" s="271" t="s">
        <v>81</v>
      </c>
      <c r="O1060" s="297">
        <f>LEFT(L1060,SEARCH(" ",L1060,1)-1)*M1060*3.142*0.001</f>
        <v>4.9015199999999997</v>
      </c>
      <c r="P1060" s="271" t="s">
        <v>139</v>
      </c>
      <c r="Q1060" s="324">
        <f>VLOOKUP(H1060,BM!$B$3:$Y$62,16,FALSE)</f>
        <v>1</v>
      </c>
      <c r="R1060" s="271" t="s">
        <v>112</v>
      </c>
      <c r="S1060" s="290">
        <f t="shared" si="723"/>
        <v>4.9015199999999997</v>
      </c>
      <c r="T1060" s="275">
        <v>1</v>
      </c>
      <c r="U1060" s="290">
        <f t="shared" si="720"/>
        <v>5.9</v>
      </c>
      <c r="V1060" s="276" t="s">
        <v>48</v>
      </c>
    </row>
    <row r="1061" spans="1:22" s="172" customFormat="1" ht="20.25" customHeight="1">
      <c r="A1061" s="263" t="str">
        <f t="shared" si="713"/>
        <v/>
      </c>
      <c r="B1061" s="263"/>
      <c r="C1061" s="264">
        <f t="shared" si="683"/>
        <v>1060</v>
      </c>
      <c r="D1061" s="277" t="s">
        <v>1614</v>
      </c>
      <c r="E1061" s="293">
        <f t="shared" si="724"/>
        <v>1059</v>
      </c>
      <c r="F1061" s="267" t="s">
        <v>44</v>
      </c>
      <c r="G1061" s="267"/>
      <c r="H1061" s="316">
        <v>18</v>
      </c>
      <c r="I1061" s="316"/>
      <c r="J1061" s="317">
        <f>J1060</f>
        <v>1560</v>
      </c>
      <c r="K1061" s="317" t="str">
        <f>K1060</f>
        <v>mm id</v>
      </c>
      <c r="L1061" s="367" t="str">
        <f t="shared" ref="L1061" si="726">J1061&amp;" "&amp;K1061</f>
        <v>1560 mm id</v>
      </c>
      <c r="M1061" s="319">
        <v>1</v>
      </c>
      <c r="N1061" s="271" t="s">
        <v>81</v>
      </c>
      <c r="O1061" s="272">
        <v>1</v>
      </c>
      <c r="P1061" s="271" t="s">
        <v>139</v>
      </c>
      <c r="Q1061" s="273">
        <v>4</v>
      </c>
      <c r="R1061" s="271" t="s">
        <v>112</v>
      </c>
      <c r="S1061" s="290">
        <f t="shared" si="723"/>
        <v>4</v>
      </c>
      <c r="T1061" s="275">
        <v>1</v>
      </c>
      <c r="U1061" s="290">
        <f t="shared" si="720"/>
        <v>5</v>
      </c>
      <c r="V1061" s="276" t="s">
        <v>48</v>
      </c>
    </row>
    <row r="1062" spans="1:22" s="172" customFormat="1" ht="20.25" customHeight="1">
      <c r="A1062" s="263">
        <f t="shared" si="713"/>
        <v>1061</v>
      </c>
      <c r="B1062" s="263" t="s">
        <v>1263</v>
      </c>
      <c r="C1062" s="264">
        <f t="shared" si="683"/>
        <v>1061</v>
      </c>
      <c r="D1062" s="265" t="s">
        <v>1615</v>
      </c>
      <c r="E1062" s="279">
        <f>C1058</f>
        <v>1057</v>
      </c>
      <c r="F1062" s="267"/>
      <c r="G1062" s="267"/>
      <c r="H1062" s="268"/>
      <c r="I1062" s="268"/>
      <c r="J1062" s="269"/>
      <c r="K1062" s="269"/>
      <c r="L1062" s="269"/>
      <c r="M1062" s="319"/>
      <c r="N1062" s="271"/>
      <c r="O1062" s="280"/>
      <c r="P1062" s="271"/>
      <c r="Q1062" s="281"/>
      <c r="R1062" s="271"/>
      <c r="S1062" s="312"/>
      <c r="T1062" s="282"/>
      <c r="U1062" s="312"/>
      <c r="V1062" s="276"/>
    </row>
    <row r="1063" spans="1:22" s="172" customFormat="1" ht="20.25" customHeight="1">
      <c r="A1063" s="263" t="str">
        <f t="shared" si="713"/>
        <v/>
      </c>
      <c r="B1063" s="263"/>
      <c r="C1063" s="264">
        <f t="shared" si="683"/>
        <v>1062</v>
      </c>
      <c r="D1063" s="277" t="s">
        <v>1616</v>
      </c>
      <c r="E1063" s="293"/>
      <c r="F1063" s="267" t="s">
        <v>201</v>
      </c>
      <c r="G1063" s="267"/>
      <c r="H1063" s="316">
        <v>18</v>
      </c>
      <c r="I1063" s="316"/>
      <c r="J1063" s="317">
        <f>J1061</f>
        <v>1560</v>
      </c>
      <c r="K1063" s="317" t="str">
        <f>K1061</f>
        <v>mm id</v>
      </c>
      <c r="L1063" s="367" t="str">
        <f t="shared" ref="L1063" si="727">J1063&amp;" "&amp;K1063</f>
        <v>1560 mm id</v>
      </c>
      <c r="M1063" s="319">
        <v>1</v>
      </c>
      <c r="N1063" s="271" t="s">
        <v>81</v>
      </c>
      <c r="O1063" s="272">
        <v>1</v>
      </c>
      <c r="P1063" s="296" t="s">
        <v>81</v>
      </c>
      <c r="Q1063" s="273">
        <v>1</v>
      </c>
      <c r="R1063" s="271" t="s">
        <v>112</v>
      </c>
      <c r="S1063" s="290">
        <f t="shared" ref="S1063:S1067" si="728">O1063*Q1063</f>
        <v>1</v>
      </c>
      <c r="T1063" s="275">
        <v>1</v>
      </c>
      <c r="U1063" s="290">
        <f t="shared" si="720"/>
        <v>2</v>
      </c>
      <c r="V1063" s="276" t="s">
        <v>48</v>
      </c>
    </row>
    <row r="1064" spans="1:22" s="172" customFormat="1" ht="20.25" customHeight="1">
      <c r="A1064" s="263" t="str">
        <f t="shared" si="713"/>
        <v/>
      </c>
      <c r="B1064" s="263"/>
      <c r="C1064" s="264">
        <f t="shared" si="683"/>
        <v>1063</v>
      </c>
      <c r="D1064" s="277" t="s">
        <v>1617</v>
      </c>
      <c r="E1064" s="293">
        <f t="shared" ref="E1064:E1067" si="729">C1063</f>
        <v>1062</v>
      </c>
      <c r="F1064" s="267" t="s">
        <v>115</v>
      </c>
      <c r="G1064" s="267"/>
      <c r="H1064" s="316">
        <v>12</v>
      </c>
      <c r="I1064" s="316"/>
      <c r="J1064" s="317">
        <f>J1063</f>
        <v>1560</v>
      </c>
      <c r="K1064" s="317" t="str">
        <f>K1063</f>
        <v>mm id</v>
      </c>
      <c r="L1064" s="367" t="str">
        <f t="shared" ref="L1064" si="730">J1064&amp;" "&amp;K1064</f>
        <v>1560 mm id</v>
      </c>
      <c r="M1064" s="319">
        <v>1</v>
      </c>
      <c r="N1064" s="271" t="s">
        <v>81</v>
      </c>
      <c r="O1064" s="297">
        <f t="shared" ref="O1064:O1067" si="731">LEFT(L1064,SEARCH(" ",L1064,1)-1)*M1064*3.142*0.001</f>
        <v>4.9015199999999997</v>
      </c>
      <c r="P1064" s="271" t="s">
        <v>249</v>
      </c>
      <c r="Q1064" s="324">
        <f>VLOOKUP(H1064,BM!$B$3:$Y$62,17,FALSE)</f>
        <v>2.5</v>
      </c>
      <c r="R1064" s="271" t="s">
        <v>112</v>
      </c>
      <c r="S1064" s="290">
        <f t="shared" si="728"/>
        <v>12.253799999999998</v>
      </c>
      <c r="T1064" s="275">
        <v>1</v>
      </c>
      <c r="U1064" s="290">
        <f t="shared" si="720"/>
        <v>13.25</v>
      </c>
      <c r="V1064" s="276" t="s">
        <v>48</v>
      </c>
    </row>
    <row r="1065" spans="1:22" s="172" customFormat="1" ht="20.25" customHeight="1">
      <c r="A1065" s="263" t="str">
        <f t="shared" si="713"/>
        <v/>
      </c>
      <c r="B1065" s="263"/>
      <c r="C1065" s="264">
        <f t="shared" si="683"/>
        <v>1064</v>
      </c>
      <c r="D1065" s="277" t="s">
        <v>1618</v>
      </c>
      <c r="E1065" s="293">
        <f t="shared" si="729"/>
        <v>1063</v>
      </c>
      <c r="F1065" s="267" t="s">
        <v>61</v>
      </c>
      <c r="G1065" s="267"/>
      <c r="H1065" s="316">
        <v>18</v>
      </c>
      <c r="I1065" s="316"/>
      <c r="J1065" s="317">
        <f>J1064</f>
        <v>1560</v>
      </c>
      <c r="K1065" s="317" t="str">
        <f>K1064</f>
        <v>mm id</v>
      </c>
      <c r="L1065" s="367" t="str">
        <f t="shared" ref="L1065" si="732">J1065&amp;" "&amp;K1065</f>
        <v>1560 mm id</v>
      </c>
      <c r="M1065" s="319">
        <v>1</v>
      </c>
      <c r="N1065" s="271" t="s">
        <v>81</v>
      </c>
      <c r="O1065" s="297">
        <f t="shared" si="731"/>
        <v>4.9015199999999997</v>
      </c>
      <c r="P1065" s="271" t="s">
        <v>249</v>
      </c>
      <c r="Q1065" s="324">
        <f>VLOOKUP(H1065,BM!$B$3:$Y$62,18,FALSE)</f>
        <v>1</v>
      </c>
      <c r="R1065" s="271" t="s">
        <v>112</v>
      </c>
      <c r="S1065" s="290">
        <f t="shared" si="728"/>
        <v>4.9015199999999997</v>
      </c>
      <c r="T1065" s="275">
        <v>1</v>
      </c>
      <c r="U1065" s="290">
        <f t="shared" si="720"/>
        <v>5.9</v>
      </c>
      <c r="V1065" s="276" t="s">
        <v>48</v>
      </c>
    </row>
    <row r="1066" spans="1:22" s="172" customFormat="1" ht="20.25" customHeight="1">
      <c r="A1066" s="263" t="str">
        <f t="shared" si="713"/>
        <v/>
      </c>
      <c r="B1066" s="263"/>
      <c r="C1066" s="264">
        <f t="shared" si="683"/>
        <v>1065</v>
      </c>
      <c r="D1066" s="277" t="s">
        <v>1619</v>
      </c>
      <c r="E1066" s="293">
        <f t="shared" si="729"/>
        <v>1064</v>
      </c>
      <c r="F1066" s="267" t="s">
        <v>115</v>
      </c>
      <c r="G1066" s="267"/>
      <c r="H1066" s="316">
        <v>8</v>
      </c>
      <c r="I1066" s="316"/>
      <c r="J1066" s="317">
        <f>J1065</f>
        <v>1560</v>
      </c>
      <c r="K1066" s="317" t="str">
        <f>K1065</f>
        <v>mm id</v>
      </c>
      <c r="L1066" s="367" t="str">
        <f t="shared" ref="L1066:L1067" si="733">J1066&amp;" "&amp;K1066</f>
        <v>1560 mm id</v>
      </c>
      <c r="M1066" s="319">
        <v>1</v>
      </c>
      <c r="N1066" s="271" t="s">
        <v>81</v>
      </c>
      <c r="O1066" s="297">
        <f t="shared" si="731"/>
        <v>4.9015199999999997</v>
      </c>
      <c r="P1066" s="271" t="s">
        <v>249</v>
      </c>
      <c r="Q1066" s="324">
        <f>VLOOKUP(H1066,BM!$B$3:$Y$62,17,FALSE)</f>
        <v>1.36</v>
      </c>
      <c r="R1066" s="271" t="s">
        <v>112</v>
      </c>
      <c r="S1066" s="290">
        <f t="shared" si="728"/>
        <v>6.6660671999999996</v>
      </c>
      <c r="T1066" s="275">
        <v>1</v>
      </c>
      <c r="U1066" s="290">
        <f t="shared" si="720"/>
        <v>7.67</v>
      </c>
      <c r="V1066" s="276" t="s">
        <v>48</v>
      </c>
    </row>
    <row r="1067" spans="1:22" s="172" customFormat="1" ht="20.25" customHeight="1">
      <c r="A1067" s="263" t="str">
        <f t="shared" si="713"/>
        <v/>
      </c>
      <c r="B1067" s="263"/>
      <c r="C1067" s="264">
        <f t="shared" si="683"/>
        <v>1066</v>
      </c>
      <c r="D1067" s="277" t="s">
        <v>1620</v>
      </c>
      <c r="E1067" s="293">
        <f t="shared" si="729"/>
        <v>1065</v>
      </c>
      <c r="F1067" s="267" t="s">
        <v>61</v>
      </c>
      <c r="G1067" s="267"/>
      <c r="H1067" s="316">
        <v>18</v>
      </c>
      <c r="I1067" s="316"/>
      <c r="J1067" s="317">
        <f>J1066</f>
        <v>1560</v>
      </c>
      <c r="K1067" s="317" t="str">
        <f>K1066</f>
        <v>mm id</v>
      </c>
      <c r="L1067" s="367" t="str">
        <f t="shared" si="733"/>
        <v>1560 mm id</v>
      </c>
      <c r="M1067" s="319">
        <v>1</v>
      </c>
      <c r="N1067" s="271" t="s">
        <v>81</v>
      </c>
      <c r="O1067" s="297">
        <f t="shared" si="731"/>
        <v>4.9015199999999997</v>
      </c>
      <c r="P1067" s="271" t="s">
        <v>249</v>
      </c>
      <c r="Q1067" s="324">
        <f>VLOOKUP(H1067,BM!$B$3:$Y$62,20,FALSE)</f>
        <v>0.5</v>
      </c>
      <c r="R1067" s="271" t="s">
        <v>112</v>
      </c>
      <c r="S1067" s="290">
        <f t="shared" si="728"/>
        <v>2.4507599999999998</v>
      </c>
      <c r="T1067" s="275">
        <v>1</v>
      </c>
      <c r="U1067" s="290">
        <f t="shared" si="720"/>
        <v>3.45</v>
      </c>
      <c r="V1067" s="276" t="s">
        <v>48</v>
      </c>
    </row>
    <row r="1068" spans="1:22" s="172" customFormat="1" ht="20.25" customHeight="1">
      <c r="A1068" s="263">
        <f t="shared" si="713"/>
        <v>1067</v>
      </c>
      <c r="B1068" s="263" t="s">
        <v>1263</v>
      </c>
      <c r="C1068" s="264">
        <f t="shared" si="683"/>
        <v>1067</v>
      </c>
      <c r="D1068" s="265" t="s">
        <v>1621</v>
      </c>
      <c r="E1068" s="279">
        <f>C1062</f>
        <v>1061</v>
      </c>
      <c r="F1068" s="267"/>
      <c r="G1068" s="267"/>
      <c r="H1068" s="268"/>
      <c r="I1068" s="268"/>
      <c r="J1068" s="269"/>
      <c r="K1068" s="269"/>
      <c r="L1068" s="269"/>
      <c r="M1068" s="319"/>
      <c r="N1068" s="271"/>
      <c r="O1068" s="280"/>
      <c r="P1068" s="271"/>
      <c r="Q1068" s="281"/>
      <c r="R1068" s="271"/>
      <c r="S1068" s="312"/>
      <c r="T1068" s="282"/>
      <c r="U1068" s="312"/>
      <c r="V1068" s="276"/>
    </row>
    <row r="1069" spans="1:22" s="172" customFormat="1" ht="20.25" customHeight="1">
      <c r="A1069" s="263" t="str">
        <f t="shared" si="713"/>
        <v/>
      </c>
      <c r="B1069" s="263"/>
      <c r="C1069" s="264">
        <f t="shared" si="683"/>
        <v>1068</v>
      </c>
      <c r="D1069" s="277" t="s">
        <v>1622</v>
      </c>
      <c r="E1069" s="293"/>
      <c r="F1069" s="267" t="s">
        <v>52</v>
      </c>
      <c r="G1069" s="267"/>
      <c r="H1069" s="317">
        <f>H1063</f>
        <v>18</v>
      </c>
      <c r="I1069" s="317"/>
      <c r="J1069" s="317">
        <f>J1067</f>
        <v>1560</v>
      </c>
      <c r="K1069" s="317" t="str">
        <f>K1067</f>
        <v>mm id</v>
      </c>
      <c r="L1069" s="367" t="str">
        <f t="shared" ref="L1069:L1072" si="734">J1069&amp;" "&amp;K1069</f>
        <v>1560 mm id</v>
      </c>
      <c r="M1069" s="319">
        <v>1</v>
      </c>
      <c r="N1069" s="271" t="s">
        <v>81</v>
      </c>
      <c r="O1069" s="297">
        <f t="shared" ref="O1069:O1072" si="735">LEFT(L1069,SEARCH(" ",L1069,1)-1)*M1069*3.142*0.001</f>
        <v>4.9015199999999997</v>
      </c>
      <c r="P1069" s="271" t="s">
        <v>139</v>
      </c>
      <c r="Q1069" s="324">
        <f>VLOOKUP(H1069,BM!$B$3:$Y$62,14,FALSE)</f>
        <v>0.5</v>
      </c>
      <c r="R1069" s="271" t="s">
        <v>112</v>
      </c>
      <c r="S1069" s="290">
        <f t="shared" ref="S1069:S1072" si="736">O1069*Q1069</f>
        <v>2.4507599999999998</v>
      </c>
      <c r="T1069" s="275">
        <v>1</v>
      </c>
      <c r="U1069" s="290">
        <f t="shared" si="720"/>
        <v>3.45</v>
      </c>
      <c r="V1069" s="276" t="s">
        <v>48</v>
      </c>
    </row>
    <row r="1070" spans="1:22" s="172" customFormat="1" ht="20.25" customHeight="1">
      <c r="A1070" s="263" t="str">
        <f t="shared" si="713"/>
        <v/>
      </c>
      <c r="B1070" s="263"/>
      <c r="C1070" s="264">
        <f t="shared" si="683"/>
        <v>1069</v>
      </c>
      <c r="D1070" s="277" t="s">
        <v>1612</v>
      </c>
      <c r="E1070" s="293">
        <f t="shared" ref="E1070:E1072" si="737">C1069</f>
        <v>1068</v>
      </c>
      <c r="F1070" s="267" t="s">
        <v>44</v>
      </c>
      <c r="G1070" s="267"/>
      <c r="H1070" s="317">
        <f>H1064</f>
        <v>12</v>
      </c>
      <c r="I1070" s="317"/>
      <c r="J1070" s="317">
        <f>J1069</f>
        <v>1560</v>
      </c>
      <c r="K1070" s="317" t="str">
        <f>K1069</f>
        <v>mm id</v>
      </c>
      <c r="L1070" s="367" t="str">
        <f t="shared" si="734"/>
        <v>1560 mm id</v>
      </c>
      <c r="M1070" s="319">
        <v>1</v>
      </c>
      <c r="N1070" s="271" t="s">
        <v>81</v>
      </c>
      <c r="O1070" s="297">
        <f t="shared" si="735"/>
        <v>4.9015199999999997</v>
      </c>
      <c r="P1070" s="271" t="s">
        <v>139</v>
      </c>
      <c r="Q1070" s="324">
        <f>VLOOKUP(H1070,BM!$B$3:$Y$62,15,FALSE)</f>
        <v>1</v>
      </c>
      <c r="R1070" s="271" t="s">
        <v>112</v>
      </c>
      <c r="S1070" s="290">
        <f t="shared" si="736"/>
        <v>4.9015199999999997</v>
      </c>
      <c r="T1070" s="275">
        <v>1</v>
      </c>
      <c r="U1070" s="290">
        <f t="shared" si="720"/>
        <v>5.9</v>
      </c>
      <c r="V1070" s="276" t="s">
        <v>48</v>
      </c>
    </row>
    <row r="1071" spans="1:22" s="172" customFormat="1" ht="20.25" customHeight="1">
      <c r="A1071" s="263" t="str">
        <f t="shared" si="713"/>
        <v/>
      </c>
      <c r="B1071" s="263"/>
      <c r="C1071" s="264">
        <f t="shared" si="683"/>
        <v>1070</v>
      </c>
      <c r="D1071" s="277" t="s">
        <v>1623</v>
      </c>
      <c r="E1071" s="293">
        <f t="shared" si="737"/>
        <v>1069</v>
      </c>
      <c r="F1071" s="267" t="s">
        <v>111</v>
      </c>
      <c r="G1071" s="267"/>
      <c r="H1071" s="317">
        <f>H1066</f>
        <v>8</v>
      </c>
      <c r="I1071" s="317"/>
      <c r="J1071" s="317">
        <f>J1070</f>
        <v>1560</v>
      </c>
      <c r="K1071" s="317" t="str">
        <f>K1070</f>
        <v>mm id</v>
      </c>
      <c r="L1071" s="367" t="str">
        <f t="shared" si="734"/>
        <v>1560 mm id</v>
      </c>
      <c r="M1071" s="319">
        <v>1</v>
      </c>
      <c r="N1071" s="271" t="s">
        <v>81</v>
      </c>
      <c r="O1071" s="297">
        <f t="shared" si="735"/>
        <v>4.9015199999999997</v>
      </c>
      <c r="P1071" s="271" t="s">
        <v>139</v>
      </c>
      <c r="Q1071" s="273">
        <v>4</v>
      </c>
      <c r="R1071" s="271" t="s">
        <v>112</v>
      </c>
      <c r="S1071" s="290">
        <f t="shared" si="736"/>
        <v>19.606079999999999</v>
      </c>
      <c r="T1071" s="275">
        <v>1</v>
      </c>
      <c r="U1071" s="290">
        <f t="shared" si="720"/>
        <v>20.61</v>
      </c>
      <c r="V1071" s="276" t="s">
        <v>48</v>
      </c>
    </row>
    <row r="1072" spans="1:22" s="172" customFormat="1" ht="20.25" customHeight="1">
      <c r="A1072" s="263" t="str">
        <f t="shared" si="713"/>
        <v/>
      </c>
      <c r="B1072" s="263"/>
      <c r="C1072" s="264">
        <f t="shared" si="683"/>
        <v>1071</v>
      </c>
      <c r="D1072" s="277" t="s">
        <v>1614</v>
      </c>
      <c r="E1072" s="293">
        <f t="shared" si="737"/>
        <v>1070</v>
      </c>
      <c r="F1072" s="267" t="s">
        <v>63</v>
      </c>
      <c r="G1072" s="267"/>
      <c r="H1072" s="316">
        <v>18</v>
      </c>
      <c r="I1072" s="316"/>
      <c r="J1072" s="317">
        <f>J1071</f>
        <v>1560</v>
      </c>
      <c r="K1072" s="317" t="str">
        <f>K1071</f>
        <v>mm id</v>
      </c>
      <c r="L1072" s="367" t="str">
        <f t="shared" si="734"/>
        <v>1560 mm id</v>
      </c>
      <c r="M1072" s="319">
        <v>1</v>
      </c>
      <c r="N1072" s="271" t="s">
        <v>81</v>
      </c>
      <c r="O1072" s="297">
        <f t="shared" si="735"/>
        <v>4.9015199999999997</v>
      </c>
      <c r="P1072" s="271" t="s">
        <v>139</v>
      </c>
      <c r="Q1072" s="273">
        <v>0.5</v>
      </c>
      <c r="R1072" s="271" t="s">
        <v>112</v>
      </c>
      <c r="S1072" s="290">
        <f t="shared" si="736"/>
        <v>2.4507599999999998</v>
      </c>
      <c r="T1072" s="275">
        <v>1</v>
      </c>
      <c r="U1072" s="290">
        <f t="shared" si="720"/>
        <v>3.45</v>
      </c>
      <c r="V1072" s="276" t="s">
        <v>48</v>
      </c>
    </row>
    <row r="1073" spans="1:22" s="172" customFormat="1" ht="20.25" customHeight="1">
      <c r="A1073" s="263">
        <f t="shared" si="713"/>
        <v>1072</v>
      </c>
      <c r="B1073" s="263" t="s">
        <v>1263</v>
      </c>
      <c r="C1073" s="264">
        <f t="shared" si="683"/>
        <v>1072</v>
      </c>
      <c r="D1073" s="265" t="s">
        <v>1624</v>
      </c>
      <c r="E1073" s="279">
        <f>C1068</f>
        <v>1067</v>
      </c>
      <c r="F1073" s="278"/>
      <c r="G1073" s="278"/>
      <c r="H1073" s="268"/>
      <c r="I1073" s="268"/>
      <c r="J1073" s="269"/>
      <c r="K1073" s="269"/>
      <c r="L1073" s="269"/>
      <c r="M1073" s="319"/>
      <c r="N1073" s="271"/>
      <c r="O1073" s="280"/>
      <c r="P1073" s="271"/>
      <c r="Q1073" s="281"/>
      <c r="R1073" s="271"/>
      <c r="S1073" s="312"/>
      <c r="T1073" s="282"/>
      <c r="U1073" s="312"/>
      <c r="V1073" s="276"/>
    </row>
    <row r="1074" spans="1:22" s="172" customFormat="1" ht="20.25" customHeight="1">
      <c r="A1074" s="263" t="str">
        <f t="shared" si="713"/>
        <v/>
      </c>
      <c r="B1074" s="263"/>
      <c r="C1074" s="264">
        <f t="shared" si="683"/>
        <v>1073</v>
      </c>
      <c r="D1074" s="277" t="s">
        <v>1625</v>
      </c>
      <c r="E1074" s="293"/>
      <c r="F1074" s="267" t="s">
        <v>201</v>
      </c>
      <c r="G1074" s="267"/>
      <c r="H1074" s="316">
        <v>12</v>
      </c>
      <c r="I1074" s="316"/>
      <c r="J1074" s="317">
        <f>J1072</f>
        <v>1560</v>
      </c>
      <c r="K1074" s="317" t="str">
        <f>K1072</f>
        <v>mm id</v>
      </c>
      <c r="L1074" s="367" t="str">
        <f t="shared" ref="L1074" si="738">J1074&amp;" "&amp;K1074</f>
        <v>1560 mm id</v>
      </c>
      <c r="M1074" s="319">
        <v>1</v>
      </c>
      <c r="N1074" s="271" t="s">
        <v>81</v>
      </c>
      <c r="O1074" s="272">
        <v>1</v>
      </c>
      <c r="P1074" s="271" t="s">
        <v>249</v>
      </c>
      <c r="Q1074" s="273">
        <v>1</v>
      </c>
      <c r="R1074" s="271" t="s">
        <v>112</v>
      </c>
      <c r="S1074" s="290">
        <f t="shared" ref="S1074:S1078" si="739">O1074*Q1074</f>
        <v>1</v>
      </c>
      <c r="T1074" s="275">
        <v>1</v>
      </c>
      <c r="U1074" s="290">
        <f t="shared" si="720"/>
        <v>2</v>
      </c>
      <c r="V1074" s="276" t="s">
        <v>48</v>
      </c>
    </row>
    <row r="1075" spans="1:22" s="172" customFormat="1" ht="20.25" customHeight="1">
      <c r="A1075" s="263" t="str">
        <f t="shared" si="713"/>
        <v/>
      </c>
      <c r="B1075" s="263"/>
      <c r="C1075" s="264">
        <f t="shared" si="683"/>
        <v>1074</v>
      </c>
      <c r="D1075" s="277" t="s">
        <v>1626</v>
      </c>
      <c r="E1075" s="293">
        <f t="shared" ref="E1075:E1078" si="740">C1074</f>
        <v>1073</v>
      </c>
      <c r="F1075" s="267" t="s">
        <v>115</v>
      </c>
      <c r="G1075" s="267"/>
      <c r="H1075" s="316">
        <v>12</v>
      </c>
      <c r="I1075" s="316"/>
      <c r="J1075" s="317">
        <f>J1074</f>
        <v>1560</v>
      </c>
      <c r="K1075" s="317" t="str">
        <f>K1074</f>
        <v>mm id</v>
      </c>
      <c r="L1075" s="367" t="str">
        <f t="shared" ref="L1075" si="741">J1075&amp;" "&amp;K1075</f>
        <v>1560 mm id</v>
      </c>
      <c r="M1075" s="319">
        <v>1</v>
      </c>
      <c r="N1075" s="271" t="s">
        <v>81</v>
      </c>
      <c r="O1075" s="297">
        <f t="shared" ref="O1075:O1078" si="742">LEFT(L1075,SEARCH(" ",L1075,1)-1)*M1075*3.142*0.001</f>
        <v>4.9015199999999997</v>
      </c>
      <c r="P1075" s="271" t="s">
        <v>249</v>
      </c>
      <c r="Q1075" s="324">
        <f>VLOOKUP(H1075,BM!$B$3:$Y$62,17,FALSE)</f>
        <v>2.5</v>
      </c>
      <c r="R1075" s="271" t="s">
        <v>112</v>
      </c>
      <c r="S1075" s="290">
        <f t="shared" si="739"/>
        <v>12.253799999999998</v>
      </c>
      <c r="T1075" s="275">
        <v>1</v>
      </c>
      <c r="U1075" s="290">
        <f t="shared" si="720"/>
        <v>13.25</v>
      </c>
      <c r="V1075" s="276" t="s">
        <v>48</v>
      </c>
    </row>
    <row r="1076" spans="1:22" s="172" customFormat="1" ht="20.25" customHeight="1">
      <c r="A1076" s="263" t="str">
        <f t="shared" si="713"/>
        <v/>
      </c>
      <c r="B1076" s="263"/>
      <c r="C1076" s="264">
        <f t="shared" si="683"/>
        <v>1075</v>
      </c>
      <c r="D1076" s="277" t="s">
        <v>1627</v>
      </c>
      <c r="E1076" s="293">
        <f t="shared" si="740"/>
        <v>1074</v>
      </c>
      <c r="F1076" s="267" t="s">
        <v>61</v>
      </c>
      <c r="G1076" s="267"/>
      <c r="H1076" s="316">
        <v>18</v>
      </c>
      <c r="I1076" s="316"/>
      <c r="J1076" s="317">
        <f>J1075</f>
        <v>1560</v>
      </c>
      <c r="K1076" s="317" t="str">
        <f>K1075</f>
        <v>mm id</v>
      </c>
      <c r="L1076" s="367" t="str">
        <f t="shared" ref="L1076" si="743">J1076&amp;" "&amp;K1076</f>
        <v>1560 mm id</v>
      </c>
      <c r="M1076" s="319">
        <v>1</v>
      </c>
      <c r="N1076" s="271" t="s">
        <v>81</v>
      </c>
      <c r="O1076" s="297">
        <f t="shared" si="742"/>
        <v>4.9015199999999997</v>
      </c>
      <c r="P1076" s="271" t="s">
        <v>249</v>
      </c>
      <c r="Q1076" s="324">
        <f>VLOOKUP(H1076,BM!$B$3:$Y$62,18,FALSE)</f>
        <v>1</v>
      </c>
      <c r="R1076" s="271" t="s">
        <v>112</v>
      </c>
      <c r="S1076" s="290">
        <f t="shared" si="739"/>
        <v>4.9015199999999997</v>
      </c>
      <c r="T1076" s="275">
        <v>1</v>
      </c>
      <c r="U1076" s="290">
        <f t="shared" si="720"/>
        <v>5.9</v>
      </c>
      <c r="V1076" s="276" t="s">
        <v>48</v>
      </c>
    </row>
    <row r="1077" spans="1:22" s="172" customFormat="1" ht="20.25" customHeight="1">
      <c r="A1077" s="263" t="str">
        <f t="shared" si="713"/>
        <v/>
      </c>
      <c r="B1077" s="263"/>
      <c r="C1077" s="264">
        <f t="shared" si="683"/>
        <v>1076</v>
      </c>
      <c r="D1077" s="277" t="s">
        <v>1628</v>
      </c>
      <c r="E1077" s="293">
        <f t="shared" si="740"/>
        <v>1075</v>
      </c>
      <c r="F1077" s="267" t="s">
        <v>115</v>
      </c>
      <c r="G1077" s="267"/>
      <c r="H1077" s="316">
        <v>6</v>
      </c>
      <c r="I1077" s="316"/>
      <c r="J1077" s="317">
        <f>J1076</f>
        <v>1560</v>
      </c>
      <c r="K1077" s="317" t="str">
        <f>K1076</f>
        <v>mm id</v>
      </c>
      <c r="L1077" s="367" t="str">
        <f t="shared" ref="L1077" si="744">J1077&amp;" "&amp;K1077</f>
        <v>1560 mm id</v>
      </c>
      <c r="M1077" s="319">
        <v>1</v>
      </c>
      <c r="N1077" s="271" t="s">
        <v>81</v>
      </c>
      <c r="O1077" s="297">
        <f t="shared" si="742"/>
        <v>4.9015199999999997</v>
      </c>
      <c r="P1077" s="271" t="s">
        <v>249</v>
      </c>
      <c r="Q1077" s="324">
        <f>VLOOKUP(H1077,BM!$B$3:$Y$62,17,FALSE)</f>
        <v>0.9</v>
      </c>
      <c r="R1077" s="271" t="s">
        <v>112</v>
      </c>
      <c r="S1077" s="290">
        <f t="shared" si="739"/>
        <v>4.4113679999999995</v>
      </c>
      <c r="T1077" s="275">
        <v>1</v>
      </c>
      <c r="U1077" s="290">
        <f t="shared" si="720"/>
        <v>5.41</v>
      </c>
      <c r="V1077" s="276" t="s">
        <v>48</v>
      </c>
    </row>
    <row r="1078" spans="1:22" s="172" customFormat="1" ht="20.25" customHeight="1">
      <c r="A1078" s="263" t="str">
        <f t="shared" si="713"/>
        <v/>
      </c>
      <c r="B1078" s="263"/>
      <c r="C1078" s="264">
        <f t="shared" si="683"/>
        <v>1077</v>
      </c>
      <c r="D1078" s="277" t="s">
        <v>1629</v>
      </c>
      <c r="E1078" s="293">
        <f t="shared" si="740"/>
        <v>1076</v>
      </c>
      <c r="F1078" s="267" t="s">
        <v>61</v>
      </c>
      <c r="G1078" s="267"/>
      <c r="H1078" s="316">
        <v>18</v>
      </c>
      <c r="I1078" s="316"/>
      <c r="J1078" s="317">
        <f>J1077</f>
        <v>1560</v>
      </c>
      <c r="K1078" s="317" t="str">
        <f>K1077</f>
        <v>mm id</v>
      </c>
      <c r="L1078" s="367" t="str">
        <f t="shared" ref="L1078" si="745">J1078&amp;" "&amp;K1078</f>
        <v>1560 mm id</v>
      </c>
      <c r="M1078" s="319">
        <v>1</v>
      </c>
      <c r="N1078" s="271" t="s">
        <v>81</v>
      </c>
      <c r="O1078" s="297">
        <f t="shared" si="742"/>
        <v>4.9015199999999997</v>
      </c>
      <c r="P1078" s="271" t="s">
        <v>249</v>
      </c>
      <c r="Q1078" s="324">
        <f>VLOOKUP(H1078,BM!$B$3:$Y$62,20,FALSE)</f>
        <v>0.5</v>
      </c>
      <c r="R1078" s="271" t="s">
        <v>112</v>
      </c>
      <c r="S1078" s="290">
        <f t="shared" si="739"/>
        <v>2.4507599999999998</v>
      </c>
      <c r="T1078" s="275">
        <v>1</v>
      </c>
      <c r="U1078" s="290">
        <f t="shared" si="720"/>
        <v>3.45</v>
      </c>
      <c r="V1078" s="276" t="s">
        <v>48</v>
      </c>
    </row>
    <row r="1079" spans="1:22" s="172" customFormat="1" ht="20.25" customHeight="1">
      <c r="A1079" s="263">
        <f t="shared" si="713"/>
        <v>1078</v>
      </c>
      <c r="B1079" s="263" t="s">
        <v>1263</v>
      </c>
      <c r="C1079" s="264">
        <f t="shared" si="683"/>
        <v>1078</v>
      </c>
      <c r="D1079" s="265" t="s">
        <v>1630</v>
      </c>
      <c r="E1079" s="279">
        <f>A1073</f>
        <v>1072</v>
      </c>
      <c r="F1079" s="267"/>
      <c r="G1079" s="267"/>
      <c r="H1079" s="268"/>
      <c r="I1079" s="268"/>
      <c r="J1079" s="269"/>
      <c r="K1079" s="269"/>
      <c r="L1079" s="269"/>
      <c r="M1079" s="319"/>
      <c r="N1079" s="271"/>
      <c r="O1079" s="280"/>
      <c r="P1079" s="271"/>
      <c r="Q1079" s="281"/>
      <c r="R1079" s="271"/>
      <c r="S1079" s="312"/>
      <c r="T1079" s="282"/>
      <c r="U1079" s="312"/>
      <c r="V1079" s="276"/>
    </row>
    <row r="1080" spans="1:22" s="172" customFormat="1" ht="20.25" customHeight="1">
      <c r="A1080" s="263" t="str">
        <f t="shared" si="713"/>
        <v/>
      </c>
      <c r="B1080" s="263"/>
      <c r="C1080" s="264">
        <f t="shared" si="683"/>
        <v>1079</v>
      </c>
      <c r="D1080" s="277" t="s">
        <v>1631</v>
      </c>
      <c r="E1080" s="293"/>
      <c r="F1080" s="267" t="s">
        <v>312</v>
      </c>
      <c r="G1080" s="267"/>
      <c r="H1080" s="316">
        <v>18</v>
      </c>
      <c r="I1080" s="316"/>
      <c r="J1080" s="317">
        <f>J1078</f>
        <v>1560</v>
      </c>
      <c r="K1080" s="317" t="str">
        <f>K1078</f>
        <v>mm id</v>
      </c>
      <c r="L1080" s="367" t="str">
        <f t="shared" ref="L1080" si="746">J1080&amp;" "&amp;K1080</f>
        <v>1560 mm id</v>
      </c>
      <c r="M1080" s="319">
        <v>1</v>
      </c>
      <c r="N1080" s="296" t="s">
        <v>81</v>
      </c>
      <c r="O1080" s="272">
        <v>1</v>
      </c>
      <c r="P1080" s="271" t="s">
        <v>457</v>
      </c>
      <c r="Q1080" s="273">
        <v>1</v>
      </c>
      <c r="R1080" s="271" t="s">
        <v>41</v>
      </c>
      <c r="S1080" s="290">
        <f t="shared" ref="S1080" si="747">O1080*Q1080</f>
        <v>1</v>
      </c>
      <c r="T1080" s="275"/>
      <c r="U1080" s="290">
        <f t="shared" si="720"/>
        <v>1</v>
      </c>
      <c r="V1080" s="276" t="s">
        <v>42</v>
      </c>
    </row>
    <row r="1081" spans="1:22" s="172" customFormat="1" ht="20.25" customHeight="1">
      <c r="A1081" s="263">
        <f t="shared" si="713"/>
        <v>1080</v>
      </c>
      <c r="B1081" s="263" t="s">
        <v>1263</v>
      </c>
      <c r="C1081" s="264">
        <f t="shared" si="683"/>
        <v>1080</v>
      </c>
      <c r="D1081" s="265" t="s">
        <v>1632</v>
      </c>
      <c r="E1081" s="279">
        <f>A1079</f>
        <v>1078</v>
      </c>
      <c r="F1081" s="267"/>
      <c r="G1081" s="267"/>
      <c r="H1081" s="268"/>
      <c r="I1081" s="268"/>
      <c r="J1081" s="269"/>
      <c r="K1081" s="269"/>
      <c r="L1081" s="269"/>
      <c r="M1081" s="319"/>
      <c r="N1081" s="271"/>
      <c r="O1081" s="280"/>
      <c r="P1081" s="271"/>
      <c r="Q1081" s="281"/>
      <c r="R1081" s="271"/>
      <c r="S1081" s="312"/>
      <c r="T1081" s="282"/>
      <c r="U1081" s="312"/>
      <c r="V1081" s="276"/>
    </row>
    <row r="1082" spans="1:22" s="172" customFormat="1" ht="20.25" customHeight="1">
      <c r="A1082" s="263" t="str">
        <f t="shared" si="713"/>
        <v/>
      </c>
      <c r="B1082" s="263"/>
      <c r="C1082" s="264">
        <f t="shared" si="683"/>
        <v>1081</v>
      </c>
      <c r="D1082" s="277" t="s">
        <v>1633</v>
      </c>
      <c r="E1082" s="293"/>
      <c r="F1082" s="267" t="s">
        <v>44</v>
      </c>
      <c r="G1082" s="267"/>
      <c r="H1082" s="316">
        <v>18</v>
      </c>
      <c r="I1082" s="316"/>
      <c r="J1082" s="317">
        <f>J1080</f>
        <v>1560</v>
      </c>
      <c r="K1082" s="317" t="str">
        <f>K1080</f>
        <v>mm id</v>
      </c>
      <c r="L1082" s="367" t="str">
        <f t="shared" ref="L1082" si="748">J1082&amp;" "&amp;K1082</f>
        <v>1560 mm id</v>
      </c>
      <c r="M1082" s="319">
        <v>1</v>
      </c>
      <c r="N1082" s="271" t="s">
        <v>81</v>
      </c>
      <c r="O1082" s="272">
        <v>1</v>
      </c>
      <c r="P1082" s="271" t="s">
        <v>81</v>
      </c>
      <c r="Q1082" s="273">
        <v>4</v>
      </c>
      <c r="R1082" s="271" t="s">
        <v>112</v>
      </c>
      <c r="S1082" s="290">
        <f t="shared" ref="S1082:S1083" si="749">O1082*Q1082</f>
        <v>4</v>
      </c>
      <c r="T1082" s="275">
        <v>1</v>
      </c>
      <c r="U1082" s="290">
        <f t="shared" si="720"/>
        <v>5</v>
      </c>
      <c r="V1082" s="276" t="s">
        <v>48</v>
      </c>
    </row>
    <row r="1083" spans="1:22" s="172" customFormat="1" ht="20.25" customHeight="1">
      <c r="A1083" s="263" t="str">
        <f t="shared" si="713"/>
        <v/>
      </c>
      <c r="B1083" s="263"/>
      <c r="C1083" s="264">
        <f t="shared" si="683"/>
        <v>1082</v>
      </c>
      <c r="D1083" s="277" t="s">
        <v>1634</v>
      </c>
      <c r="E1083" s="293">
        <f t="shared" ref="E1083" si="750">C1082</f>
        <v>1081</v>
      </c>
      <c r="F1083" s="267" t="s">
        <v>44</v>
      </c>
      <c r="G1083" s="267"/>
      <c r="H1083" s="316">
        <v>18</v>
      </c>
      <c r="I1083" s="316"/>
      <c r="J1083" s="317">
        <f>J1082</f>
        <v>1560</v>
      </c>
      <c r="K1083" s="317" t="str">
        <f>K1082</f>
        <v>mm id</v>
      </c>
      <c r="L1083" s="367" t="str">
        <f t="shared" ref="L1083" si="751">J1083&amp;" "&amp;K1083</f>
        <v>1560 mm id</v>
      </c>
      <c r="M1083" s="319">
        <v>1</v>
      </c>
      <c r="N1083" s="271" t="s">
        <v>81</v>
      </c>
      <c r="O1083" s="272">
        <v>1</v>
      </c>
      <c r="P1083" s="271" t="s">
        <v>81</v>
      </c>
      <c r="Q1083" s="273">
        <v>4</v>
      </c>
      <c r="R1083" s="271" t="s">
        <v>112</v>
      </c>
      <c r="S1083" s="290">
        <f t="shared" si="749"/>
        <v>4</v>
      </c>
      <c r="T1083" s="275">
        <v>1</v>
      </c>
      <c r="U1083" s="290">
        <f t="shared" si="720"/>
        <v>5</v>
      </c>
      <c r="V1083" s="276" t="s">
        <v>48</v>
      </c>
    </row>
    <row r="1084" spans="1:22" s="172" customFormat="1" ht="20.25" customHeight="1">
      <c r="A1084" s="263">
        <f t="shared" si="713"/>
        <v>1083</v>
      </c>
      <c r="B1084" s="263" t="s">
        <v>1263</v>
      </c>
      <c r="C1084" s="264">
        <f t="shared" si="683"/>
        <v>1083</v>
      </c>
      <c r="D1084" s="265" t="s">
        <v>1635</v>
      </c>
      <c r="E1084" s="279">
        <f>A1081</f>
        <v>1080</v>
      </c>
      <c r="F1084" s="267"/>
      <c r="G1084" s="267"/>
      <c r="H1084" s="268"/>
      <c r="I1084" s="268"/>
      <c r="J1084" s="269"/>
      <c r="K1084" s="269"/>
      <c r="L1084" s="269"/>
      <c r="M1084" s="319"/>
      <c r="N1084" s="271"/>
      <c r="O1084" s="280"/>
      <c r="P1084" s="271"/>
      <c r="Q1084" s="281"/>
      <c r="R1084" s="271"/>
      <c r="S1084" s="312"/>
      <c r="T1084" s="282"/>
      <c r="U1084" s="312"/>
      <c r="V1084" s="276"/>
    </row>
    <row r="1085" spans="1:22" s="172" customFormat="1" ht="20.25" customHeight="1">
      <c r="A1085" s="263" t="str">
        <f t="shared" si="713"/>
        <v/>
      </c>
      <c r="B1085" s="263"/>
      <c r="C1085" s="264">
        <f t="shared" si="683"/>
        <v>1084</v>
      </c>
      <c r="D1085" s="277" t="s">
        <v>1636</v>
      </c>
      <c r="E1085" s="293"/>
      <c r="F1085" s="267" t="s">
        <v>52</v>
      </c>
      <c r="G1085" s="267"/>
      <c r="H1085" s="268"/>
      <c r="I1085" s="268"/>
      <c r="J1085" s="322">
        <v>400</v>
      </c>
      <c r="K1085" s="322" t="s">
        <v>1090</v>
      </c>
      <c r="L1085" s="367" t="str">
        <f t="shared" ref="L1085:L1086" si="752">J1085&amp;" "&amp;K1085</f>
        <v>400 NB</v>
      </c>
      <c r="M1085" s="319">
        <v>1</v>
      </c>
      <c r="N1085" s="296" t="s">
        <v>81</v>
      </c>
      <c r="O1085" s="272">
        <v>1</v>
      </c>
      <c r="P1085" s="271"/>
      <c r="Q1085" s="324" t="e">
        <f>VLOOKUP(L1085,BM!$B$3:$Y$62,2,FALSE)</f>
        <v>#N/A</v>
      </c>
      <c r="R1085" s="271" t="s">
        <v>112</v>
      </c>
      <c r="S1085" s="290" t="e">
        <f t="shared" ref="S1085:S1086" si="753">O1085*Q1085</f>
        <v>#N/A</v>
      </c>
      <c r="T1085" s="275">
        <v>1</v>
      </c>
      <c r="U1085" s="290" t="e">
        <f t="shared" si="720"/>
        <v>#N/A</v>
      </c>
      <c r="V1085" s="276" t="s">
        <v>48</v>
      </c>
    </row>
    <row r="1086" spans="1:22" s="172" customFormat="1" ht="20.25" customHeight="1">
      <c r="A1086" s="263" t="str">
        <f t="shared" si="713"/>
        <v/>
      </c>
      <c r="B1086" s="263"/>
      <c r="C1086" s="264">
        <f t="shared" si="683"/>
        <v>1085</v>
      </c>
      <c r="D1086" s="277" t="s">
        <v>1637</v>
      </c>
      <c r="E1086" s="293">
        <f t="shared" ref="E1086" si="754">C1085</f>
        <v>1084</v>
      </c>
      <c r="F1086" s="267" t="s">
        <v>52</v>
      </c>
      <c r="G1086" s="267"/>
      <c r="H1086" s="268"/>
      <c r="I1086" s="268"/>
      <c r="J1086" s="322">
        <v>400</v>
      </c>
      <c r="K1086" s="322" t="s">
        <v>1090</v>
      </c>
      <c r="L1086" s="367" t="str">
        <f t="shared" si="752"/>
        <v>400 NB</v>
      </c>
      <c r="M1086" s="319">
        <v>1</v>
      </c>
      <c r="N1086" s="296" t="s">
        <v>81</v>
      </c>
      <c r="O1086" s="272">
        <v>1</v>
      </c>
      <c r="P1086" s="271"/>
      <c r="Q1086" s="324" t="e">
        <f>VLOOKUP(L1086,BM!$B$3:$Y$62,2,FALSE)</f>
        <v>#N/A</v>
      </c>
      <c r="R1086" s="271" t="s">
        <v>112</v>
      </c>
      <c r="S1086" s="290" t="e">
        <f t="shared" si="753"/>
        <v>#N/A</v>
      </c>
      <c r="T1086" s="275">
        <v>1</v>
      </c>
      <c r="U1086" s="290" t="e">
        <f t="shared" si="720"/>
        <v>#N/A</v>
      </c>
      <c r="V1086" s="276" t="s">
        <v>48</v>
      </c>
    </row>
    <row r="1087" spans="1:22" s="172" customFormat="1" ht="20.25" customHeight="1">
      <c r="A1087" s="263">
        <f t="shared" si="713"/>
        <v>1086</v>
      </c>
      <c r="B1087" s="263" t="s">
        <v>1263</v>
      </c>
      <c r="C1087" s="264">
        <f t="shared" si="683"/>
        <v>1086</v>
      </c>
      <c r="D1087" s="265" t="s">
        <v>1638</v>
      </c>
      <c r="E1087" s="279">
        <f>A1084</f>
        <v>1083</v>
      </c>
      <c r="F1087" s="267"/>
      <c r="G1087" s="267"/>
      <c r="H1087" s="268"/>
      <c r="I1087" s="268"/>
      <c r="J1087" s="269"/>
      <c r="K1087" s="269"/>
      <c r="L1087" s="269"/>
      <c r="M1087" s="319"/>
      <c r="N1087" s="271"/>
      <c r="O1087" s="280"/>
      <c r="P1087" s="271"/>
      <c r="Q1087" s="281"/>
      <c r="R1087" s="271"/>
      <c r="S1087" s="312"/>
      <c r="T1087" s="282"/>
      <c r="U1087" s="312"/>
      <c r="V1087" s="276"/>
    </row>
    <row r="1088" spans="1:22" s="172" customFormat="1" ht="20.25" customHeight="1">
      <c r="A1088" s="263" t="str">
        <f t="shared" si="713"/>
        <v/>
      </c>
      <c r="B1088" s="263"/>
      <c r="C1088" s="264">
        <f t="shared" si="683"/>
        <v>1087</v>
      </c>
      <c r="D1088" s="277" t="s">
        <v>1639</v>
      </c>
      <c r="E1088" s="293"/>
      <c r="F1088" s="267" t="s">
        <v>121</v>
      </c>
      <c r="G1088" s="267"/>
      <c r="H1088" s="268"/>
      <c r="I1088" s="268"/>
      <c r="J1088" s="317">
        <f>J1086</f>
        <v>400</v>
      </c>
      <c r="K1088" s="317" t="str">
        <f>K1086</f>
        <v>NB</v>
      </c>
      <c r="L1088" s="367" t="str">
        <f t="shared" ref="L1088" si="755">J1088&amp;" "&amp;K1088</f>
        <v>400 NB</v>
      </c>
      <c r="M1088" s="319">
        <v>1</v>
      </c>
      <c r="N1088" s="296" t="s">
        <v>81</v>
      </c>
      <c r="O1088" s="272">
        <v>1</v>
      </c>
      <c r="P1088" s="271"/>
      <c r="Q1088" s="324" t="e">
        <f>VLOOKUP(L1088,BM!$B$3:$Y$62,4,FALSE)</f>
        <v>#N/A</v>
      </c>
      <c r="R1088" s="271" t="s">
        <v>112</v>
      </c>
      <c r="S1088" s="290" t="e">
        <f t="shared" ref="S1088:S1089" si="756">O1088*Q1088</f>
        <v>#N/A</v>
      </c>
      <c r="T1088" s="275">
        <v>1</v>
      </c>
      <c r="U1088" s="290" t="e">
        <f t="shared" si="720"/>
        <v>#N/A</v>
      </c>
      <c r="V1088" s="276" t="s">
        <v>48</v>
      </c>
    </row>
    <row r="1089" spans="1:22" s="172" customFormat="1" ht="20.25" customHeight="1">
      <c r="A1089" s="263" t="str">
        <f t="shared" si="713"/>
        <v/>
      </c>
      <c r="B1089" s="263"/>
      <c r="C1089" s="264">
        <f t="shared" si="683"/>
        <v>1088</v>
      </c>
      <c r="D1089" s="277" t="s">
        <v>1640</v>
      </c>
      <c r="E1089" s="293">
        <f t="shared" ref="E1089" si="757">C1088</f>
        <v>1087</v>
      </c>
      <c r="F1089" s="267" t="s">
        <v>121</v>
      </c>
      <c r="G1089" s="267"/>
      <c r="H1089" s="268"/>
      <c r="I1089" s="268"/>
      <c r="J1089" s="317">
        <f>J1086</f>
        <v>400</v>
      </c>
      <c r="K1089" s="317" t="str">
        <f>K1086</f>
        <v>NB</v>
      </c>
      <c r="L1089" s="367" t="str">
        <f t="shared" ref="L1089" si="758">J1089&amp;" "&amp;K1089</f>
        <v>400 NB</v>
      </c>
      <c r="M1089" s="319">
        <v>1</v>
      </c>
      <c r="N1089" s="296" t="s">
        <v>81</v>
      </c>
      <c r="O1089" s="272">
        <v>1</v>
      </c>
      <c r="P1089" s="271"/>
      <c r="Q1089" s="324" t="e">
        <f>VLOOKUP(L1089,BM!$B$3:$Y$62,4,FALSE)</f>
        <v>#N/A</v>
      </c>
      <c r="R1089" s="271" t="s">
        <v>112</v>
      </c>
      <c r="S1089" s="290" t="e">
        <f t="shared" si="756"/>
        <v>#N/A</v>
      </c>
      <c r="T1089" s="275">
        <v>1</v>
      </c>
      <c r="U1089" s="290" t="e">
        <f t="shared" si="720"/>
        <v>#N/A</v>
      </c>
      <c r="V1089" s="276" t="s">
        <v>48</v>
      </c>
    </row>
    <row r="1090" spans="1:22" s="172" customFormat="1" ht="20.25" customHeight="1">
      <c r="A1090" s="263">
        <f t="shared" si="713"/>
        <v>1089</v>
      </c>
      <c r="B1090" s="263" t="s">
        <v>1263</v>
      </c>
      <c r="C1090" s="264">
        <f t="shared" si="683"/>
        <v>1089</v>
      </c>
      <c r="D1090" s="265" t="s">
        <v>1641</v>
      </c>
      <c r="E1090" s="279">
        <f>A1087</f>
        <v>1086</v>
      </c>
      <c r="F1090" s="267"/>
      <c r="G1090" s="267"/>
      <c r="H1090" s="268"/>
      <c r="I1090" s="268"/>
      <c r="J1090" s="269"/>
      <c r="K1090" s="269"/>
      <c r="L1090" s="269"/>
      <c r="M1090" s="319"/>
      <c r="N1090" s="271"/>
      <c r="O1090" s="280"/>
      <c r="P1090" s="271"/>
      <c r="Q1090" s="281"/>
      <c r="R1090" s="271"/>
      <c r="S1090" s="312"/>
      <c r="T1090" s="282"/>
      <c r="U1090" s="312"/>
      <c r="V1090" s="276"/>
    </row>
    <row r="1091" spans="1:22" s="172" customFormat="1" ht="20.25" customHeight="1">
      <c r="A1091" s="263" t="str">
        <f t="shared" si="713"/>
        <v/>
      </c>
      <c r="B1091" s="263"/>
      <c r="C1091" s="264">
        <f t="shared" si="683"/>
        <v>1090</v>
      </c>
      <c r="D1091" s="277" t="s">
        <v>1642</v>
      </c>
      <c r="E1091" s="293"/>
      <c r="F1091" s="267" t="s">
        <v>111</v>
      </c>
      <c r="G1091" s="267"/>
      <c r="H1091" s="268"/>
      <c r="I1091" s="268"/>
      <c r="J1091" s="322">
        <v>400</v>
      </c>
      <c r="K1091" s="322" t="s">
        <v>1090</v>
      </c>
      <c r="L1091" s="367" t="str">
        <f t="shared" ref="L1091:L1092" si="759">J1091&amp;" "&amp;K1091</f>
        <v>400 NB</v>
      </c>
      <c r="M1091" s="319">
        <v>1</v>
      </c>
      <c r="N1091" s="296" t="s">
        <v>81</v>
      </c>
      <c r="O1091" s="272">
        <v>1</v>
      </c>
      <c r="P1091" s="296" t="s">
        <v>81</v>
      </c>
      <c r="Q1091" s="324" t="e">
        <f>VLOOKUP(L1091,BM!$B$3:$Y$62,5,FALSE)</f>
        <v>#N/A</v>
      </c>
      <c r="R1091" s="271" t="s">
        <v>112</v>
      </c>
      <c r="S1091" s="290" t="e">
        <f t="shared" ref="S1091:S1102" si="760">O1091*Q1091</f>
        <v>#N/A</v>
      </c>
      <c r="T1091" s="275">
        <v>1</v>
      </c>
      <c r="U1091" s="290" t="e">
        <f t="shared" si="720"/>
        <v>#N/A</v>
      </c>
      <c r="V1091" s="276" t="s">
        <v>48</v>
      </c>
    </row>
    <row r="1092" spans="1:22" s="172" customFormat="1" ht="20.25" customHeight="1">
      <c r="A1092" s="263" t="str">
        <f t="shared" si="713"/>
        <v/>
      </c>
      <c r="B1092" s="263"/>
      <c r="C1092" s="264">
        <f t="shared" si="683"/>
        <v>1091</v>
      </c>
      <c r="D1092" s="277" t="s">
        <v>1643</v>
      </c>
      <c r="E1092" s="293">
        <f t="shared" ref="E1092" si="761">C1091</f>
        <v>1090</v>
      </c>
      <c r="F1092" s="267" t="s">
        <v>111</v>
      </c>
      <c r="G1092" s="267"/>
      <c r="H1092" s="268"/>
      <c r="I1092" s="268"/>
      <c r="J1092" s="322">
        <v>400</v>
      </c>
      <c r="K1092" s="322" t="s">
        <v>1090</v>
      </c>
      <c r="L1092" s="367" t="str">
        <f t="shared" si="759"/>
        <v>400 NB</v>
      </c>
      <c r="M1092" s="319">
        <v>1</v>
      </c>
      <c r="N1092" s="296" t="s">
        <v>81</v>
      </c>
      <c r="O1092" s="272">
        <v>1</v>
      </c>
      <c r="P1092" s="296" t="s">
        <v>81</v>
      </c>
      <c r="Q1092" s="324" t="e">
        <f>VLOOKUP(L1092,BM!$B$3:$Y$62,5,FALSE)</f>
        <v>#N/A</v>
      </c>
      <c r="R1092" s="271" t="s">
        <v>112</v>
      </c>
      <c r="S1092" s="290" t="e">
        <f t="shared" si="760"/>
        <v>#N/A</v>
      </c>
      <c r="T1092" s="275">
        <v>1</v>
      </c>
      <c r="U1092" s="290" t="e">
        <f t="shared" si="720"/>
        <v>#N/A</v>
      </c>
      <c r="V1092" s="276" t="s">
        <v>48</v>
      </c>
    </row>
    <row r="1093" spans="1:22" s="172" customFormat="1" ht="20.25" customHeight="1">
      <c r="A1093" s="263">
        <f t="shared" si="713"/>
        <v>1092</v>
      </c>
      <c r="B1093" s="263" t="s">
        <v>1263</v>
      </c>
      <c r="C1093" s="264">
        <f t="shared" ref="C1093:C1156" si="762">C1092+1</f>
        <v>1092</v>
      </c>
      <c r="D1093" s="265" t="s">
        <v>1803</v>
      </c>
      <c r="E1093" s="279">
        <f>A1090</f>
        <v>1089</v>
      </c>
      <c r="F1093" s="267"/>
      <c r="G1093" s="267"/>
      <c r="H1093" s="268"/>
      <c r="I1093" s="268"/>
      <c r="J1093" s="269"/>
      <c r="K1093" s="269"/>
      <c r="L1093" s="269"/>
      <c r="M1093" s="319"/>
      <c r="N1093" s="271"/>
      <c r="O1093" s="272"/>
      <c r="P1093" s="271"/>
      <c r="Q1093" s="273"/>
      <c r="R1093" s="271"/>
      <c r="S1093" s="290">
        <f t="shared" si="760"/>
        <v>0</v>
      </c>
      <c r="T1093" s="275"/>
      <c r="U1093" s="307"/>
      <c r="V1093" s="276" t="s">
        <v>48</v>
      </c>
    </row>
    <row r="1094" spans="1:22" s="172" customFormat="1" ht="20.25" customHeight="1">
      <c r="A1094" s="263" t="str">
        <f t="shared" si="713"/>
        <v/>
      </c>
      <c r="B1094" s="263"/>
      <c r="C1094" s="264">
        <f t="shared" si="762"/>
        <v>1093</v>
      </c>
      <c r="D1094" s="277" t="s">
        <v>1804</v>
      </c>
      <c r="E1094" s="293"/>
      <c r="F1094" s="267" t="s">
        <v>299</v>
      </c>
      <c r="G1094" s="267"/>
      <c r="H1094" s="268"/>
      <c r="I1094" s="268"/>
      <c r="J1094" s="269"/>
      <c r="K1094" s="269"/>
      <c r="L1094" s="269"/>
      <c r="M1094" s="319">
        <v>1</v>
      </c>
      <c r="N1094" s="296" t="s">
        <v>81</v>
      </c>
      <c r="O1094" s="272">
        <v>1</v>
      </c>
      <c r="P1094" s="271" t="s">
        <v>249</v>
      </c>
      <c r="Q1094" s="273">
        <v>16</v>
      </c>
      <c r="R1094" s="271" t="s">
        <v>112</v>
      </c>
      <c r="S1094" s="290">
        <f t="shared" si="760"/>
        <v>16</v>
      </c>
      <c r="T1094" s="275">
        <v>1</v>
      </c>
      <c r="U1094" s="290">
        <f t="shared" si="720"/>
        <v>17</v>
      </c>
      <c r="V1094" s="276" t="s">
        <v>48</v>
      </c>
    </row>
    <row r="1095" spans="1:22" s="172" customFormat="1" ht="20.25" customHeight="1">
      <c r="A1095" s="263" t="str">
        <f t="shared" si="713"/>
        <v/>
      </c>
      <c r="B1095" s="263"/>
      <c r="C1095" s="264">
        <f t="shared" si="762"/>
        <v>1094</v>
      </c>
      <c r="D1095" s="277" t="s">
        <v>1805</v>
      </c>
      <c r="E1095" s="293"/>
      <c r="F1095" s="267" t="s">
        <v>299</v>
      </c>
      <c r="G1095" s="267"/>
      <c r="H1095" s="322">
        <v>650</v>
      </c>
      <c r="I1095" s="322" t="s">
        <v>1090</v>
      </c>
      <c r="J1095" s="322">
        <v>650</v>
      </c>
      <c r="K1095" s="322" t="s">
        <v>1090</v>
      </c>
      <c r="L1095" s="367" t="str">
        <f t="shared" ref="L1095:L1098" si="763">J1095&amp;" "&amp;K1095</f>
        <v>650 NB</v>
      </c>
      <c r="M1095" s="319">
        <v>1</v>
      </c>
      <c r="N1095" s="296" t="s">
        <v>81</v>
      </c>
      <c r="O1095" s="272">
        <v>1</v>
      </c>
      <c r="P1095" s="271" t="s">
        <v>249</v>
      </c>
      <c r="Q1095" s="324">
        <f>VLOOKUP(H1095,BM!$B$3:$Y$62,11,FALSE)</f>
        <v>4</v>
      </c>
      <c r="R1095" s="271" t="s">
        <v>112</v>
      </c>
      <c r="S1095" s="290">
        <f t="shared" si="760"/>
        <v>4</v>
      </c>
      <c r="T1095" s="275">
        <v>1</v>
      </c>
      <c r="U1095" s="290">
        <f t="shared" si="720"/>
        <v>5</v>
      </c>
      <c r="V1095" s="276" t="s">
        <v>48</v>
      </c>
    </row>
    <row r="1096" spans="1:22" s="172" customFormat="1" ht="20.25" customHeight="1">
      <c r="A1096" s="263" t="str">
        <f t="shared" si="713"/>
        <v/>
      </c>
      <c r="B1096" s="263"/>
      <c r="C1096" s="264">
        <f t="shared" si="762"/>
        <v>1095</v>
      </c>
      <c r="D1096" s="277" t="s">
        <v>1806</v>
      </c>
      <c r="E1096" s="293"/>
      <c r="F1096" s="267" t="s">
        <v>299</v>
      </c>
      <c r="G1096" s="267"/>
      <c r="H1096" s="322">
        <v>400</v>
      </c>
      <c r="I1096" s="322" t="s">
        <v>1090</v>
      </c>
      <c r="J1096" s="322">
        <v>400</v>
      </c>
      <c r="K1096" s="322" t="s">
        <v>1090</v>
      </c>
      <c r="L1096" s="367" t="str">
        <f t="shared" si="763"/>
        <v>400 NB</v>
      </c>
      <c r="M1096" s="319">
        <v>1</v>
      </c>
      <c r="N1096" s="296" t="s">
        <v>81</v>
      </c>
      <c r="O1096" s="272">
        <v>1</v>
      </c>
      <c r="P1096" s="271" t="s">
        <v>249</v>
      </c>
      <c r="Q1096" s="324">
        <f>VLOOKUP(H1096,BM!$B$3:$Y$62,11,FALSE)</f>
        <v>4</v>
      </c>
      <c r="R1096" s="271" t="s">
        <v>112</v>
      </c>
      <c r="S1096" s="290">
        <f t="shared" si="760"/>
        <v>4</v>
      </c>
      <c r="T1096" s="275">
        <v>1</v>
      </c>
      <c r="U1096" s="290">
        <f t="shared" si="720"/>
        <v>5</v>
      </c>
      <c r="V1096" s="276" t="s">
        <v>48</v>
      </c>
    </row>
    <row r="1097" spans="1:22" s="172" customFormat="1" ht="20.25" customHeight="1">
      <c r="A1097" s="263" t="str">
        <f t="shared" si="713"/>
        <v/>
      </c>
      <c r="B1097" s="263"/>
      <c r="C1097" s="264">
        <f t="shared" si="762"/>
        <v>1096</v>
      </c>
      <c r="D1097" s="277" t="s">
        <v>1807</v>
      </c>
      <c r="E1097" s="293"/>
      <c r="F1097" s="267" t="s">
        <v>115</v>
      </c>
      <c r="G1097" s="267"/>
      <c r="H1097" s="316">
        <v>18</v>
      </c>
      <c r="I1097" s="316"/>
      <c r="J1097" s="316">
        <v>972</v>
      </c>
      <c r="K1097" s="322" t="s">
        <v>1844</v>
      </c>
      <c r="L1097" s="367" t="str">
        <f t="shared" si="763"/>
        <v>972 mm dia</v>
      </c>
      <c r="M1097" s="319">
        <v>1</v>
      </c>
      <c r="N1097" s="296" t="s">
        <v>81</v>
      </c>
      <c r="O1097" s="297">
        <f>LEFT(L1097,SEARCH(" ",L1097,1)-1)*3.142/1000</f>
        <v>3.0540240000000001</v>
      </c>
      <c r="P1097" s="271" t="s">
        <v>249</v>
      </c>
      <c r="Q1097" s="324">
        <f>VLOOKUP(H1097,BM!$B$3:$Y$62,17,FALSE)</f>
        <v>4.9000000000000004</v>
      </c>
      <c r="R1097" s="271" t="s">
        <v>112</v>
      </c>
      <c r="S1097" s="290">
        <f t="shared" si="760"/>
        <v>14.964717600000002</v>
      </c>
      <c r="T1097" s="275">
        <v>1</v>
      </c>
      <c r="U1097" s="290">
        <f t="shared" si="720"/>
        <v>15.96</v>
      </c>
      <c r="V1097" s="276" t="s">
        <v>48</v>
      </c>
    </row>
    <row r="1098" spans="1:22" s="172" customFormat="1" ht="20.25" customHeight="1">
      <c r="A1098" s="263" t="str">
        <f t="shared" si="713"/>
        <v/>
      </c>
      <c r="B1098" s="263"/>
      <c r="C1098" s="264">
        <f t="shared" si="762"/>
        <v>1097</v>
      </c>
      <c r="D1098" s="277" t="s">
        <v>1808</v>
      </c>
      <c r="E1098" s="293"/>
      <c r="F1098" s="267" t="s">
        <v>115</v>
      </c>
      <c r="G1098" s="267"/>
      <c r="H1098" s="316">
        <v>18</v>
      </c>
      <c r="I1098" s="316"/>
      <c r="J1098" s="316">
        <v>407</v>
      </c>
      <c r="K1098" s="322" t="s">
        <v>1844</v>
      </c>
      <c r="L1098" s="367" t="str">
        <f t="shared" si="763"/>
        <v>407 mm dia</v>
      </c>
      <c r="M1098" s="319">
        <v>1</v>
      </c>
      <c r="N1098" s="296" t="s">
        <v>81</v>
      </c>
      <c r="O1098" s="297">
        <f>LEFT(L1098,SEARCH(" ",L1098,1)-1)*3.142/1000</f>
        <v>1.2787939999999998</v>
      </c>
      <c r="P1098" s="271" t="s">
        <v>249</v>
      </c>
      <c r="Q1098" s="324">
        <f>VLOOKUP(H1098,BM!$B$3:$Y$62,17,FALSE)</f>
        <v>4.9000000000000004</v>
      </c>
      <c r="R1098" s="271" t="s">
        <v>112</v>
      </c>
      <c r="S1098" s="290">
        <f t="shared" si="760"/>
        <v>6.2660905999999992</v>
      </c>
      <c r="T1098" s="275">
        <v>1</v>
      </c>
      <c r="U1098" s="290">
        <f t="shared" si="720"/>
        <v>7.27</v>
      </c>
      <c r="V1098" s="276" t="s">
        <v>48</v>
      </c>
    </row>
    <row r="1099" spans="1:22" s="172" customFormat="1" ht="20.25" customHeight="1">
      <c r="A1099" s="263" t="str">
        <f t="shared" si="713"/>
        <v/>
      </c>
      <c r="B1099" s="263"/>
      <c r="C1099" s="264">
        <f t="shared" si="762"/>
        <v>1098</v>
      </c>
      <c r="D1099" s="277" t="s">
        <v>1809</v>
      </c>
      <c r="E1099" s="293"/>
      <c r="F1099" s="267" t="s">
        <v>299</v>
      </c>
      <c r="G1099" s="267"/>
      <c r="H1099" s="268"/>
      <c r="I1099" s="268"/>
      <c r="J1099" s="269"/>
      <c r="K1099" s="269"/>
      <c r="L1099" s="269"/>
      <c r="M1099" s="319">
        <v>1</v>
      </c>
      <c r="N1099" s="296" t="s">
        <v>81</v>
      </c>
      <c r="O1099" s="272">
        <v>1</v>
      </c>
      <c r="P1099" s="296" t="s">
        <v>81</v>
      </c>
      <c r="Q1099" s="273">
        <v>12</v>
      </c>
      <c r="R1099" s="271" t="s">
        <v>112</v>
      </c>
      <c r="S1099" s="290">
        <f t="shared" si="760"/>
        <v>12</v>
      </c>
      <c r="T1099" s="275">
        <v>1</v>
      </c>
      <c r="U1099" s="290">
        <f t="shared" si="720"/>
        <v>13</v>
      </c>
      <c r="V1099" s="276" t="s">
        <v>48</v>
      </c>
    </row>
    <row r="1100" spans="1:22" s="172" customFormat="1" ht="20.25" customHeight="1">
      <c r="A1100" s="263" t="str">
        <f t="shared" si="713"/>
        <v/>
      </c>
      <c r="B1100" s="263"/>
      <c r="C1100" s="264">
        <f t="shared" si="762"/>
        <v>1099</v>
      </c>
      <c r="D1100" s="277" t="s">
        <v>1810</v>
      </c>
      <c r="E1100" s="293"/>
      <c r="F1100" s="267" t="s">
        <v>121</v>
      </c>
      <c r="G1100" s="267"/>
      <c r="H1100" s="316">
        <v>18</v>
      </c>
      <c r="I1100" s="316"/>
      <c r="J1100" s="316">
        <v>972</v>
      </c>
      <c r="K1100" s="322" t="s">
        <v>1844</v>
      </c>
      <c r="L1100" s="367" t="str">
        <f t="shared" ref="L1100:L1102" si="764">J1100&amp;" "&amp;K1100</f>
        <v>972 mm dia</v>
      </c>
      <c r="M1100" s="319">
        <v>1</v>
      </c>
      <c r="N1100" s="296" t="s">
        <v>81</v>
      </c>
      <c r="O1100" s="297">
        <f>LEFT(L1100,SEARCH(" ",L1100,1)-1)*3.142/1000</f>
        <v>3.0540240000000001</v>
      </c>
      <c r="P1100" s="271" t="s">
        <v>249</v>
      </c>
      <c r="Q1100" s="324">
        <f>VLOOKUP(H1100,BM!$B$3:$Y$62,20,FALSE)</f>
        <v>0.5</v>
      </c>
      <c r="R1100" s="271" t="s">
        <v>112</v>
      </c>
      <c r="S1100" s="290">
        <f t="shared" si="760"/>
        <v>1.527012</v>
      </c>
      <c r="T1100" s="275">
        <v>1</v>
      </c>
      <c r="U1100" s="290">
        <f t="shared" si="720"/>
        <v>2.5299999999999998</v>
      </c>
      <c r="V1100" s="276" t="s">
        <v>48</v>
      </c>
    </row>
    <row r="1101" spans="1:22" s="172" customFormat="1" ht="20.25" customHeight="1">
      <c r="A1101" s="263" t="str">
        <f t="shared" si="713"/>
        <v/>
      </c>
      <c r="B1101" s="263"/>
      <c r="C1101" s="264">
        <f t="shared" si="762"/>
        <v>1100</v>
      </c>
      <c r="D1101" s="277" t="s">
        <v>1811</v>
      </c>
      <c r="E1101" s="293"/>
      <c r="F1101" s="267" t="s">
        <v>121</v>
      </c>
      <c r="G1101" s="267"/>
      <c r="H1101" s="316">
        <v>18</v>
      </c>
      <c r="I1101" s="316"/>
      <c r="J1101" s="316">
        <v>407</v>
      </c>
      <c r="K1101" s="322" t="s">
        <v>1844</v>
      </c>
      <c r="L1101" s="367" t="str">
        <f t="shared" si="764"/>
        <v>407 mm dia</v>
      </c>
      <c r="M1101" s="319">
        <v>1</v>
      </c>
      <c r="N1101" s="296" t="s">
        <v>81</v>
      </c>
      <c r="O1101" s="297">
        <f>LEFT(L1101,SEARCH(" ",L1101,1)-1)*3.142/1000</f>
        <v>1.2787939999999998</v>
      </c>
      <c r="P1101" s="271" t="s">
        <v>249</v>
      </c>
      <c r="Q1101" s="324">
        <f>VLOOKUP(H1101,BM!$B$3:$Y$62,20,FALSE)</f>
        <v>0.5</v>
      </c>
      <c r="R1101" s="271" t="s">
        <v>112</v>
      </c>
      <c r="S1101" s="290">
        <f t="shared" si="760"/>
        <v>0.63939699999999988</v>
      </c>
      <c r="T1101" s="275">
        <v>1</v>
      </c>
      <c r="U1101" s="290">
        <f t="shared" si="720"/>
        <v>1.64</v>
      </c>
      <c r="V1101" s="276" t="s">
        <v>48</v>
      </c>
    </row>
    <row r="1102" spans="1:22" s="172" customFormat="1" ht="20.25" customHeight="1">
      <c r="A1102" s="263" t="str">
        <f t="shared" si="713"/>
        <v/>
      </c>
      <c r="B1102" s="263"/>
      <c r="C1102" s="264">
        <f t="shared" si="762"/>
        <v>1101</v>
      </c>
      <c r="D1102" s="277" t="s">
        <v>1812</v>
      </c>
      <c r="E1102" s="293"/>
      <c r="F1102" s="267" t="s">
        <v>312</v>
      </c>
      <c r="G1102" s="267"/>
      <c r="H1102" s="308">
        <f>H1100</f>
        <v>18</v>
      </c>
      <c r="I1102" s="308"/>
      <c r="J1102" s="308">
        <f t="shared" ref="J1102:K1102" si="765">J1100</f>
        <v>972</v>
      </c>
      <c r="K1102" s="308" t="str">
        <f t="shared" si="765"/>
        <v>mm dia</v>
      </c>
      <c r="L1102" s="367" t="str">
        <f t="shared" si="764"/>
        <v>972 mm dia</v>
      </c>
      <c r="M1102" s="326">
        <f t="shared" ref="L1102:O1102" si="766">M1100</f>
        <v>1</v>
      </c>
      <c r="N1102" s="296" t="s">
        <v>81</v>
      </c>
      <c r="O1102" s="327">
        <f t="shared" si="766"/>
        <v>3.0540240000000001</v>
      </c>
      <c r="P1102" s="296" t="s">
        <v>81</v>
      </c>
      <c r="Q1102" s="273">
        <v>1</v>
      </c>
      <c r="R1102" s="271" t="s">
        <v>41</v>
      </c>
      <c r="S1102" s="290">
        <f t="shared" si="760"/>
        <v>3.0540240000000001</v>
      </c>
      <c r="T1102" s="275"/>
      <c r="U1102" s="290">
        <f t="shared" si="720"/>
        <v>3.05</v>
      </c>
      <c r="V1102" s="276" t="s">
        <v>48</v>
      </c>
    </row>
    <row r="1103" spans="1:22" s="172" customFormat="1" ht="20.25" customHeight="1">
      <c r="A1103" s="263">
        <f t="shared" si="713"/>
        <v>1092</v>
      </c>
      <c r="B1103" s="263" t="s">
        <v>1263</v>
      </c>
      <c r="C1103" s="264">
        <f>C1092+1</f>
        <v>1092</v>
      </c>
      <c r="D1103" s="265" t="s">
        <v>1644</v>
      </c>
      <c r="E1103" s="279">
        <f>A1093</f>
        <v>1092</v>
      </c>
      <c r="F1103" s="267"/>
      <c r="G1103" s="267"/>
      <c r="H1103" s="268"/>
      <c r="I1103" s="268"/>
      <c r="J1103" s="269"/>
      <c r="K1103" s="269"/>
      <c r="L1103" s="269"/>
      <c r="M1103" s="319"/>
      <c r="N1103" s="271"/>
      <c r="O1103" s="280"/>
      <c r="P1103" s="271"/>
      <c r="Q1103" s="281"/>
      <c r="R1103" s="271"/>
      <c r="S1103" s="312"/>
      <c r="T1103" s="282"/>
      <c r="U1103" s="312"/>
      <c r="V1103" s="276"/>
    </row>
    <row r="1104" spans="1:22" s="172" customFormat="1" ht="20.25" customHeight="1">
      <c r="A1104" s="263" t="str">
        <f t="shared" si="713"/>
        <v/>
      </c>
      <c r="B1104" s="263"/>
      <c r="C1104" s="264">
        <f t="shared" si="762"/>
        <v>1093</v>
      </c>
      <c r="D1104" s="277" t="s">
        <v>1645</v>
      </c>
      <c r="E1104" s="293"/>
      <c r="F1104" s="267" t="s">
        <v>44</v>
      </c>
      <c r="G1104" s="267"/>
      <c r="H1104" s="268"/>
      <c r="I1104" s="268"/>
      <c r="J1104" s="322">
        <v>400</v>
      </c>
      <c r="K1104" s="322" t="s">
        <v>1090</v>
      </c>
      <c r="L1104" s="367" t="str">
        <f t="shared" ref="L1104:L1105" si="767">J1104&amp;" "&amp;K1104</f>
        <v>400 NB</v>
      </c>
      <c r="M1104" s="319">
        <v>1</v>
      </c>
      <c r="N1104" s="296" t="s">
        <v>81</v>
      </c>
      <c r="O1104" s="272">
        <v>1</v>
      </c>
      <c r="P1104" s="296" t="s">
        <v>81</v>
      </c>
      <c r="Q1104" s="273">
        <v>1</v>
      </c>
      <c r="R1104" s="271" t="s">
        <v>112</v>
      </c>
      <c r="S1104" s="290">
        <f t="shared" ref="S1104:S1105" si="768">O1104*Q1104</f>
        <v>1</v>
      </c>
      <c r="T1104" s="275">
        <v>1</v>
      </c>
      <c r="U1104" s="290">
        <f t="shared" si="720"/>
        <v>2</v>
      </c>
      <c r="V1104" s="276" t="s">
        <v>48</v>
      </c>
    </row>
    <row r="1105" spans="1:22" s="172" customFormat="1" ht="20.25" customHeight="1">
      <c r="A1105" s="263" t="str">
        <f t="shared" si="713"/>
        <v/>
      </c>
      <c r="B1105" s="263"/>
      <c r="C1105" s="264">
        <f t="shared" si="762"/>
        <v>1094</v>
      </c>
      <c r="D1105" s="277" t="s">
        <v>1646</v>
      </c>
      <c r="E1105" s="293">
        <f t="shared" ref="E1105" si="769">C1104</f>
        <v>1093</v>
      </c>
      <c r="F1105" s="267" t="s">
        <v>44</v>
      </c>
      <c r="G1105" s="267"/>
      <c r="H1105" s="268"/>
      <c r="I1105" s="268"/>
      <c r="J1105" s="322">
        <v>400</v>
      </c>
      <c r="K1105" s="322" t="s">
        <v>1090</v>
      </c>
      <c r="L1105" s="367" t="str">
        <f t="shared" si="767"/>
        <v>400 NB</v>
      </c>
      <c r="M1105" s="319">
        <v>1</v>
      </c>
      <c r="N1105" s="296" t="s">
        <v>81</v>
      </c>
      <c r="O1105" s="272">
        <v>1</v>
      </c>
      <c r="P1105" s="296" t="s">
        <v>81</v>
      </c>
      <c r="Q1105" s="273">
        <v>1</v>
      </c>
      <c r="R1105" s="271" t="s">
        <v>112</v>
      </c>
      <c r="S1105" s="290">
        <f t="shared" si="768"/>
        <v>1</v>
      </c>
      <c r="T1105" s="275">
        <v>1</v>
      </c>
      <c r="U1105" s="290">
        <f t="shared" si="720"/>
        <v>2</v>
      </c>
      <c r="V1105" s="276" t="s">
        <v>48</v>
      </c>
    </row>
    <row r="1106" spans="1:22" s="172" customFormat="1" ht="20.25" customHeight="1">
      <c r="A1106" s="263">
        <f t="shared" si="713"/>
        <v>1095</v>
      </c>
      <c r="B1106" s="263" t="s">
        <v>1263</v>
      </c>
      <c r="C1106" s="264">
        <f t="shared" si="762"/>
        <v>1095</v>
      </c>
      <c r="D1106" s="265" t="s">
        <v>1647</v>
      </c>
      <c r="E1106" s="279">
        <f>A1103</f>
        <v>1092</v>
      </c>
      <c r="F1106" s="267"/>
      <c r="G1106" s="267"/>
      <c r="H1106" s="268"/>
      <c r="I1106" s="268"/>
      <c r="J1106" s="269"/>
      <c r="K1106" s="269"/>
      <c r="L1106" s="269"/>
      <c r="M1106" s="319"/>
      <c r="N1106" s="271"/>
      <c r="O1106" s="280"/>
      <c r="P1106" s="271"/>
      <c r="Q1106" s="281"/>
      <c r="R1106" s="271"/>
      <c r="S1106" s="312"/>
      <c r="T1106" s="282"/>
      <c r="U1106" s="312"/>
      <c r="V1106" s="276"/>
    </row>
    <row r="1107" spans="1:22" s="172" customFormat="1" ht="20.25" customHeight="1">
      <c r="A1107" s="263" t="str">
        <f t="shared" si="713"/>
        <v/>
      </c>
      <c r="B1107" s="263"/>
      <c r="C1107" s="264">
        <f t="shared" si="762"/>
        <v>1096</v>
      </c>
      <c r="D1107" s="277" t="s">
        <v>1648</v>
      </c>
      <c r="E1107" s="293"/>
      <c r="F1107" s="267" t="s">
        <v>201</v>
      </c>
      <c r="G1107" s="267"/>
      <c r="H1107" s="268"/>
      <c r="I1107" s="268"/>
      <c r="J1107" s="322">
        <v>400</v>
      </c>
      <c r="K1107" s="322" t="s">
        <v>1090</v>
      </c>
      <c r="L1107" s="367" t="str">
        <f t="shared" ref="L1107:L1113" si="770">J1107&amp;" "&amp;K1107</f>
        <v>400 NB</v>
      </c>
      <c r="M1107" s="319">
        <v>2</v>
      </c>
      <c r="N1107" s="271" t="s">
        <v>81</v>
      </c>
      <c r="O1107" s="272">
        <v>1</v>
      </c>
      <c r="P1107" s="296" t="s">
        <v>81</v>
      </c>
      <c r="Q1107" s="273">
        <v>0.5</v>
      </c>
      <c r="R1107" s="271" t="s">
        <v>112</v>
      </c>
      <c r="S1107" s="290">
        <f t="shared" ref="S1107:S1115" si="771">O1107*Q1107</f>
        <v>0.5</v>
      </c>
      <c r="T1107" s="275">
        <v>1</v>
      </c>
      <c r="U1107" s="290">
        <f t="shared" si="720"/>
        <v>1.5</v>
      </c>
      <c r="V1107" s="276" t="s">
        <v>48</v>
      </c>
    </row>
    <row r="1108" spans="1:22" s="172" customFormat="1" ht="20.25" customHeight="1">
      <c r="A1108" s="263" t="str">
        <f t="shared" si="713"/>
        <v/>
      </c>
      <c r="B1108" s="263"/>
      <c r="C1108" s="264">
        <f t="shared" si="762"/>
        <v>1097</v>
      </c>
      <c r="D1108" s="277" t="s">
        <v>1649</v>
      </c>
      <c r="E1108" s="293">
        <f t="shared" ref="E1108:E1115" si="772">C1107</f>
        <v>1096</v>
      </c>
      <c r="F1108" s="267" t="s">
        <v>115</v>
      </c>
      <c r="G1108" s="267"/>
      <c r="H1108" s="316">
        <v>14</v>
      </c>
      <c r="I1108" s="316"/>
      <c r="J1108" s="316">
        <v>407</v>
      </c>
      <c r="K1108" s="322" t="s">
        <v>1831</v>
      </c>
      <c r="L1108" s="367" t="str">
        <f t="shared" si="770"/>
        <v>407 mm</v>
      </c>
      <c r="M1108" s="319">
        <v>1</v>
      </c>
      <c r="N1108" s="296" t="s">
        <v>81</v>
      </c>
      <c r="O1108" s="327">
        <f>16*25.4*3.142*M1108/1000</f>
        <v>1.2769088</v>
      </c>
      <c r="P1108" s="271" t="s">
        <v>249</v>
      </c>
      <c r="Q1108" s="324">
        <f>VLOOKUP(H1108,BM!$B$3:$Y$62,17,FALSE)</f>
        <v>3.22</v>
      </c>
      <c r="R1108" s="271" t="s">
        <v>112</v>
      </c>
      <c r="S1108" s="290">
        <f t="shared" si="771"/>
        <v>4.1116463359999997</v>
      </c>
      <c r="T1108" s="275">
        <v>1</v>
      </c>
      <c r="U1108" s="290">
        <f t="shared" si="720"/>
        <v>5.1100000000000003</v>
      </c>
      <c r="V1108" s="276" t="s">
        <v>48</v>
      </c>
    </row>
    <row r="1109" spans="1:22" s="172" customFormat="1" ht="20.25" customHeight="1">
      <c r="A1109" s="263" t="str">
        <f t="shared" si="713"/>
        <v/>
      </c>
      <c r="B1109" s="263"/>
      <c r="C1109" s="264">
        <f t="shared" si="762"/>
        <v>1098</v>
      </c>
      <c r="D1109" s="277" t="s">
        <v>1650</v>
      </c>
      <c r="E1109" s="293">
        <f t="shared" si="772"/>
        <v>1097</v>
      </c>
      <c r="F1109" s="267" t="s">
        <v>115</v>
      </c>
      <c r="G1109" s="267"/>
      <c r="H1109" s="316">
        <v>14</v>
      </c>
      <c r="I1109" s="316"/>
      <c r="J1109" s="316">
        <v>407</v>
      </c>
      <c r="K1109" s="322" t="s">
        <v>1831</v>
      </c>
      <c r="L1109" s="367" t="str">
        <f t="shared" si="770"/>
        <v>407 mm</v>
      </c>
      <c r="M1109" s="319">
        <v>1</v>
      </c>
      <c r="N1109" s="296" t="s">
        <v>81</v>
      </c>
      <c r="O1109" s="327">
        <f>16*25.4*3.142*M1109/1000</f>
        <v>1.2769088</v>
      </c>
      <c r="P1109" s="271" t="s">
        <v>249</v>
      </c>
      <c r="Q1109" s="324">
        <f>VLOOKUP(H1109,BM!$B$3:$Y$62,17,FALSE)</f>
        <v>3.22</v>
      </c>
      <c r="R1109" s="271" t="s">
        <v>112</v>
      </c>
      <c r="S1109" s="290">
        <f t="shared" si="771"/>
        <v>4.1116463359999997</v>
      </c>
      <c r="T1109" s="275">
        <v>1</v>
      </c>
      <c r="U1109" s="290">
        <f t="shared" si="720"/>
        <v>5.1100000000000003</v>
      </c>
      <c r="V1109" s="276" t="s">
        <v>48</v>
      </c>
    </row>
    <row r="1110" spans="1:22" s="172" customFormat="1" ht="20.25" customHeight="1">
      <c r="A1110" s="263" t="str">
        <f t="shared" si="713"/>
        <v/>
      </c>
      <c r="B1110" s="263"/>
      <c r="C1110" s="264">
        <f t="shared" si="762"/>
        <v>1099</v>
      </c>
      <c r="D1110" s="277" t="s">
        <v>1651</v>
      </c>
      <c r="E1110" s="293">
        <f t="shared" si="772"/>
        <v>1098</v>
      </c>
      <c r="F1110" s="267" t="s">
        <v>115</v>
      </c>
      <c r="G1110" s="267"/>
      <c r="H1110" s="316">
        <v>14</v>
      </c>
      <c r="I1110" s="316"/>
      <c r="J1110" s="316">
        <v>407</v>
      </c>
      <c r="K1110" s="322" t="s">
        <v>1831</v>
      </c>
      <c r="L1110" s="367" t="str">
        <f t="shared" si="770"/>
        <v>407 mm</v>
      </c>
      <c r="M1110" s="319">
        <v>2</v>
      </c>
      <c r="N1110" s="296" t="s">
        <v>81</v>
      </c>
      <c r="O1110" s="272">
        <v>2</v>
      </c>
      <c r="P1110" s="271" t="s">
        <v>81</v>
      </c>
      <c r="Q1110" s="273">
        <v>1</v>
      </c>
      <c r="R1110" s="271" t="s">
        <v>112</v>
      </c>
      <c r="S1110" s="290">
        <f t="shared" si="771"/>
        <v>2</v>
      </c>
      <c r="T1110" s="275">
        <v>1</v>
      </c>
      <c r="U1110" s="290">
        <f t="shared" si="720"/>
        <v>3</v>
      </c>
      <c r="V1110" s="276" t="s">
        <v>48</v>
      </c>
    </row>
    <row r="1111" spans="1:22" s="172" customFormat="1" ht="20.25" customHeight="1">
      <c r="A1111" s="263" t="str">
        <f t="shared" si="713"/>
        <v/>
      </c>
      <c r="B1111" s="263"/>
      <c r="C1111" s="264">
        <f t="shared" si="762"/>
        <v>1100</v>
      </c>
      <c r="D1111" s="277" t="s">
        <v>1652</v>
      </c>
      <c r="E1111" s="293">
        <f t="shared" si="772"/>
        <v>1099</v>
      </c>
      <c r="F1111" s="267" t="s">
        <v>115</v>
      </c>
      <c r="G1111" s="267"/>
      <c r="H1111" s="316">
        <v>6</v>
      </c>
      <c r="I1111" s="316"/>
      <c r="J1111" s="316">
        <v>407</v>
      </c>
      <c r="K1111" s="322" t="s">
        <v>1831</v>
      </c>
      <c r="L1111" s="367" t="str">
        <f t="shared" si="770"/>
        <v>407 mm</v>
      </c>
      <c r="M1111" s="319">
        <v>1</v>
      </c>
      <c r="N1111" s="296" t="s">
        <v>81</v>
      </c>
      <c r="O1111" s="327">
        <f>16*25.4*3.142*M1111/1000</f>
        <v>1.2769088</v>
      </c>
      <c r="P1111" s="271" t="s">
        <v>249</v>
      </c>
      <c r="Q1111" s="324">
        <f>VLOOKUP(H1111,BM!$B$3:$Y$62,17,FALSE)</f>
        <v>0.9</v>
      </c>
      <c r="R1111" s="271" t="s">
        <v>112</v>
      </c>
      <c r="S1111" s="290">
        <f t="shared" si="771"/>
        <v>1.1492179199999999</v>
      </c>
      <c r="T1111" s="275">
        <v>1</v>
      </c>
      <c r="U1111" s="290">
        <f t="shared" si="720"/>
        <v>2.15</v>
      </c>
      <c r="V1111" s="276" t="s">
        <v>48</v>
      </c>
    </row>
    <row r="1112" spans="1:22" s="172" customFormat="1" ht="20.25" customHeight="1">
      <c r="A1112" s="263" t="str">
        <f t="shared" si="713"/>
        <v/>
      </c>
      <c r="B1112" s="263"/>
      <c r="C1112" s="264">
        <f t="shared" si="762"/>
        <v>1101</v>
      </c>
      <c r="D1112" s="277" t="s">
        <v>1653</v>
      </c>
      <c r="E1112" s="293">
        <f t="shared" si="772"/>
        <v>1100</v>
      </c>
      <c r="F1112" s="267" t="s">
        <v>115</v>
      </c>
      <c r="G1112" s="267"/>
      <c r="H1112" s="316">
        <v>6</v>
      </c>
      <c r="I1112" s="316"/>
      <c r="J1112" s="316">
        <v>407</v>
      </c>
      <c r="K1112" s="322" t="s">
        <v>1831</v>
      </c>
      <c r="L1112" s="367" t="str">
        <f t="shared" si="770"/>
        <v>407 mm</v>
      </c>
      <c r="M1112" s="319">
        <v>1</v>
      </c>
      <c r="N1112" s="296" t="s">
        <v>81</v>
      </c>
      <c r="O1112" s="327">
        <f>16*25.4*3.142*M1112/1000</f>
        <v>1.2769088</v>
      </c>
      <c r="P1112" s="271" t="s">
        <v>249</v>
      </c>
      <c r="Q1112" s="324">
        <f>VLOOKUP(H1112,BM!$B$3:$Y$62,17,FALSE)</f>
        <v>0.9</v>
      </c>
      <c r="R1112" s="271" t="s">
        <v>112</v>
      </c>
      <c r="S1112" s="290">
        <f t="shared" si="771"/>
        <v>1.1492179199999999</v>
      </c>
      <c r="T1112" s="275">
        <v>1</v>
      </c>
      <c r="U1112" s="290">
        <f t="shared" si="720"/>
        <v>2.15</v>
      </c>
      <c r="V1112" s="276" t="s">
        <v>48</v>
      </c>
    </row>
    <row r="1113" spans="1:22" s="172" customFormat="1" ht="20.25" customHeight="1">
      <c r="A1113" s="263" t="str">
        <f t="shared" si="713"/>
        <v/>
      </c>
      <c r="B1113" s="263"/>
      <c r="C1113" s="264">
        <f t="shared" si="762"/>
        <v>1102</v>
      </c>
      <c r="D1113" s="277" t="s">
        <v>1654</v>
      </c>
      <c r="E1113" s="293">
        <f t="shared" si="772"/>
        <v>1101</v>
      </c>
      <c r="F1113" s="267" t="s">
        <v>115</v>
      </c>
      <c r="G1113" s="267"/>
      <c r="H1113" s="268"/>
      <c r="I1113" s="268"/>
      <c r="J1113" s="322">
        <v>400</v>
      </c>
      <c r="K1113" s="322" t="s">
        <v>1090</v>
      </c>
      <c r="L1113" s="367" t="str">
        <f t="shared" si="770"/>
        <v>400 NB</v>
      </c>
      <c r="M1113" s="319">
        <v>2</v>
      </c>
      <c r="N1113" s="296" t="s">
        <v>81</v>
      </c>
      <c r="O1113" s="272">
        <v>2</v>
      </c>
      <c r="P1113" s="271" t="s">
        <v>84</v>
      </c>
      <c r="Q1113" s="324" t="e">
        <f>VLOOKUP(L1113,BM!$B$3:$Y$62,11,FALSE)</f>
        <v>#N/A</v>
      </c>
      <c r="R1113" s="271" t="s">
        <v>112</v>
      </c>
      <c r="S1113" s="290" t="e">
        <f t="shared" si="771"/>
        <v>#N/A</v>
      </c>
      <c r="T1113" s="275">
        <v>1</v>
      </c>
      <c r="U1113" s="290" t="e">
        <f t="shared" si="720"/>
        <v>#N/A</v>
      </c>
      <c r="V1113" s="276" t="s">
        <v>48</v>
      </c>
    </row>
    <row r="1114" spans="1:22" s="172" customFormat="1" ht="20.25" customHeight="1">
      <c r="A1114" s="263" t="str">
        <f t="shared" si="713"/>
        <v/>
      </c>
      <c r="B1114" s="263"/>
      <c r="C1114" s="264">
        <f t="shared" si="762"/>
        <v>1103</v>
      </c>
      <c r="D1114" s="277" t="s">
        <v>1655</v>
      </c>
      <c r="E1114" s="293">
        <f t="shared" si="772"/>
        <v>1102</v>
      </c>
      <c r="F1114" s="267" t="s">
        <v>121</v>
      </c>
      <c r="G1114" s="267"/>
      <c r="H1114" s="316">
        <v>18</v>
      </c>
      <c r="I1114" s="316"/>
      <c r="J1114" s="269"/>
      <c r="K1114" s="269"/>
      <c r="L1114" s="269"/>
      <c r="M1114" s="319">
        <v>2</v>
      </c>
      <c r="N1114" s="296" t="s">
        <v>81</v>
      </c>
      <c r="O1114" s="327">
        <f>16*25.4*3.142*0.001*M1114</f>
        <v>2.5538175999999999</v>
      </c>
      <c r="P1114" s="271" t="s">
        <v>249</v>
      </c>
      <c r="Q1114" s="324">
        <f>VLOOKUP(H1114,BM!$B$3:$Y$62,23,FALSE)</f>
        <v>6.8</v>
      </c>
      <c r="R1114" s="271" t="s">
        <v>112</v>
      </c>
      <c r="S1114" s="290">
        <f t="shared" si="771"/>
        <v>17.36595968</v>
      </c>
      <c r="T1114" s="275">
        <v>1</v>
      </c>
      <c r="U1114" s="290">
        <f t="shared" si="720"/>
        <v>18.37</v>
      </c>
      <c r="V1114" s="276" t="s">
        <v>48</v>
      </c>
    </row>
    <row r="1115" spans="1:22" s="172" customFormat="1" ht="20.25" customHeight="1">
      <c r="A1115" s="263" t="str">
        <f t="shared" si="713"/>
        <v/>
      </c>
      <c r="B1115" s="263"/>
      <c r="C1115" s="264">
        <f t="shared" si="762"/>
        <v>1104</v>
      </c>
      <c r="D1115" s="277" t="s">
        <v>1656</v>
      </c>
      <c r="E1115" s="293">
        <f t="shared" si="772"/>
        <v>1103</v>
      </c>
      <c r="F1115" s="267" t="s">
        <v>61</v>
      </c>
      <c r="G1115" s="267"/>
      <c r="H1115" s="268"/>
      <c r="I1115" s="268"/>
      <c r="J1115" s="316">
        <v>407</v>
      </c>
      <c r="K1115" s="322" t="s">
        <v>1831</v>
      </c>
      <c r="L1115" s="367" t="str">
        <f t="shared" ref="L1115" si="773">J1115&amp;" "&amp;K1115</f>
        <v>407 mm</v>
      </c>
      <c r="M1115" s="319">
        <v>2</v>
      </c>
      <c r="N1115" s="271" t="s">
        <v>485</v>
      </c>
      <c r="O1115" s="327">
        <f>16*25.4*3.142*M1115/1000</f>
        <v>2.5538175999999999</v>
      </c>
      <c r="P1115" s="296" t="s">
        <v>81</v>
      </c>
      <c r="Q1115" s="273">
        <v>0.15</v>
      </c>
      <c r="R1115" s="271" t="s">
        <v>112</v>
      </c>
      <c r="S1115" s="290">
        <f t="shared" si="771"/>
        <v>0.38307263999999996</v>
      </c>
      <c r="T1115" s="275">
        <v>1</v>
      </c>
      <c r="U1115" s="290">
        <f t="shared" si="720"/>
        <v>1.38</v>
      </c>
      <c r="V1115" s="276" t="s">
        <v>48</v>
      </c>
    </row>
    <row r="1116" spans="1:22" s="172" customFormat="1" ht="20.25" customHeight="1">
      <c r="A1116" s="263">
        <f t="shared" ref="A1116:A1179" si="774">IF(B1116="Yes",C1116,"")</f>
        <v>1105</v>
      </c>
      <c r="B1116" s="263" t="s">
        <v>1263</v>
      </c>
      <c r="C1116" s="264">
        <f t="shared" si="762"/>
        <v>1105</v>
      </c>
      <c r="D1116" s="265" t="s">
        <v>1657</v>
      </c>
      <c r="E1116" s="279">
        <f>A1106</f>
        <v>1095</v>
      </c>
      <c r="F1116" s="267"/>
      <c r="G1116" s="267"/>
      <c r="H1116" s="268"/>
      <c r="I1116" s="268"/>
      <c r="J1116" s="269"/>
      <c r="K1116" s="269"/>
      <c r="L1116" s="269"/>
      <c r="M1116" s="319"/>
      <c r="N1116" s="271"/>
      <c r="O1116" s="280"/>
      <c r="P1116" s="271"/>
      <c r="Q1116" s="281"/>
      <c r="R1116" s="271"/>
      <c r="S1116" s="312"/>
      <c r="T1116" s="282"/>
      <c r="U1116" s="312"/>
      <c r="V1116" s="276"/>
    </row>
    <row r="1117" spans="1:22" s="172" customFormat="1" ht="20.25" customHeight="1">
      <c r="A1117" s="263" t="str">
        <f t="shared" si="774"/>
        <v/>
      </c>
      <c r="B1117" s="263"/>
      <c r="C1117" s="264">
        <f t="shared" si="762"/>
        <v>1106</v>
      </c>
      <c r="D1117" s="277" t="s">
        <v>1658</v>
      </c>
      <c r="E1117" s="293"/>
      <c r="F1117" s="267" t="s">
        <v>299</v>
      </c>
      <c r="G1117" s="267"/>
      <c r="H1117" s="316">
        <v>24</v>
      </c>
      <c r="I1117" s="316"/>
      <c r="J1117" s="316">
        <v>14465</v>
      </c>
      <c r="K1117" s="316"/>
      <c r="L1117" s="367" t="str">
        <f t="shared" ref="L1117:L1118" si="775">J1117&amp;" "&amp;K1117</f>
        <v xml:space="preserve">14465 </v>
      </c>
      <c r="M1117" s="319">
        <v>1</v>
      </c>
      <c r="N1117" s="296" t="s">
        <v>81</v>
      </c>
      <c r="O1117" s="321">
        <f>L1117*M1117/1000</f>
        <v>14.465</v>
      </c>
      <c r="P1117" s="271" t="s">
        <v>81</v>
      </c>
      <c r="Q1117" s="273">
        <v>0.5</v>
      </c>
      <c r="R1117" s="271" t="s">
        <v>112</v>
      </c>
      <c r="S1117" s="290">
        <f t="shared" ref="S1117:S1118" si="776">O1117*Q1117</f>
        <v>7.2324999999999999</v>
      </c>
      <c r="T1117" s="275">
        <v>1</v>
      </c>
      <c r="U1117" s="290">
        <f t="shared" si="720"/>
        <v>8.23</v>
      </c>
      <c r="V1117" s="276" t="s">
        <v>48</v>
      </c>
    </row>
    <row r="1118" spans="1:22" s="172" customFormat="1" ht="20.25" customHeight="1">
      <c r="A1118" s="263" t="str">
        <f t="shared" si="774"/>
        <v/>
      </c>
      <c r="B1118" s="263"/>
      <c r="C1118" s="264">
        <f t="shared" si="762"/>
        <v>1107</v>
      </c>
      <c r="D1118" s="277" t="s">
        <v>1659</v>
      </c>
      <c r="E1118" s="293">
        <f t="shared" ref="E1118" si="777">C1117</f>
        <v>1106</v>
      </c>
      <c r="F1118" s="267" t="s">
        <v>44</v>
      </c>
      <c r="G1118" s="267"/>
      <c r="H1118" s="316">
        <v>24</v>
      </c>
      <c r="I1118" s="316"/>
      <c r="J1118" s="316">
        <v>1560</v>
      </c>
      <c r="K1118" s="322" t="s">
        <v>1836</v>
      </c>
      <c r="L1118" s="367" t="str">
        <f t="shared" si="775"/>
        <v>1560 id</v>
      </c>
      <c r="M1118" s="319">
        <v>3</v>
      </c>
      <c r="N1118" s="296" t="s">
        <v>81</v>
      </c>
      <c r="O1118" s="272">
        <v>4</v>
      </c>
      <c r="P1118" s="271" t="s">
        <v>81</v>
      </c>
      <c r="Q1118" s="273">
        <v>0.5</v>
      </c>
      <c r="R1118" s="271" t="s">
        <v>112</v>
      </c>
      <c r="S1118" s="290">
        <f t="shared" si="776"/>
        <v>2</v>
      </c>
      <c r="T1118" s="275">
        <v>1</v>
      </c>
      <c r="U1118" s="290">
        <f t="shared" si="720"/>
        <v>3</v>
      </c>
      <c r="V1118" s="276" t="s">
        <v>48</v>
      </c>
    </row>
    <row r="1119" spans="1:22" s="172" customFormat="1" ht="20.25" customHeight="1">
      <c r="A1119" s="263">
        <f t="shared" si="774"/>
        <v>1108</v>
      </c>
      <c r="B1119" s="263" t="s">
        <v>1263</v>
      </c>
      <c r="C1119" s="264">
        <f t="shared" si="762"/>
        <v>1108</v>
      </c>
      <c r="D1119" s="265" t="s">
        <v>1660</v>
      </c>
      <c r="E1119" s="279">
        <f>A1116</f>
        <v>1105</v>
      </c>
      <c r="F1119" s="267"/>
      <c r="G1119" s="267"/>
      <c r="H1119" s="268"/>
      <c r="I1119" s="268"/>
      <c r="J1119" s="269"/>
      <c r="K1119" s="269"/>
      <c r="L1119" s="269"/>
      <c r="M1119" s="319"/>
      <c r="N1119" s="271"/>
      <c r="O1119" s="280"/>
      <c r="P1119" s="271"/>
      <c r="Q1119" s="281"/>
      <c r="R1119" s="271"/>
      <c r="S1119" s="312"/>
      <c r="T1119" s="282"/>
      <c r="U1119" s="312"/>
      <c r="V1119" s="276"/>
    </row>
    <row r="1120" spans="1:22" s="172" customFormat="1" ht="20.25" customHeight="1">
      <c r="A1120" s="263" t="str">
        <f t="shared" si="774"/>
        <v/>
      </c>
      <c r="B1120" s="263"/>
      <c r="C1120" s="264">
        <f t="shared" si="762"/>
        <v>1109</v>
      </c>
      <c r="D1120" s="277" t="s">
        <v>1661</v>
      </c>
      <c r="E1120" s="293"/>
      <c r="F1120" s="267" t="s">
        <v>115</v>
      </c>
      <c r="G1120" s="267"/>
      <c r="H1120" s="316">
        <v>24</v>
      </c>
      <c r="I1120" s="316"/>
      <c r="J1120" s="316">
        <v>1480</v>
      </c>
      <c r="K1120" s="316"/>
      <c r="L1120" s="367" t="str">
        <f t="shared" ref="L1120:L1121" si="778">J1120&amp;" "&amp;K1120</f>
        <v xml:space="preserve">1480 </v>
      </c>
      <c r="M1120" s="319">
        <v>3</v>
      </c>
      <c r="N1120" s="296" t="s">
        <v>81</v>
      </c>
      <c r="O1120" s="327">
        <f>L1120*M1120/1000</f>
        <v>4.4400000000000004</v>
      </c>
      <c r="P1120" s="271"/>
      <c r="Q1120" s="324">
        <f>VLOOKUP(H1120,BM!$B$3:$Y$62,23,FALSE)</f>
        <v>11.2</v>
      </c>
      <c r="R1120" s="271" t="s">
        <v>112</v>
      </c>
      <c r="S1120" s="290">
        <f t="shared" ref="S1120:S1121" si="779">O1120*Q1120</f>
        <v>49.728000000000002</v>
      </c>
      <c r="T1120" s="275">
        <v>1</v>
      </c>
      <c r="U1120" s="290">
        <f t="shared" ref="U1120:U1182" si="780">ROUND(S1120+T1120,2)</f>
        <v>50.73</v>
      </c>
      <c r="V1120" s="276" t="s">
        <v>48</v>
      </c>
    </row>
    <row r="1121" spans="1:22" s="172" customFormat="1" ht="20.25" customHeight="1">
      <c r="A1121" s="263" t="str">
        <f t="shared" si="774"/>
        <v/>
      </c>
      <c r="B1121" s="263"/>
      <c r="C1121" s="264">
        <f t="shared" si="762"/>
        <v>1110</v>
      </c>
      <c r="D1121" s="277" t="s">
        <v>1662</v>
      </c>
      <c r="E1121" s="293">
        <f t="shared" ref="E1121" si="781">C1120</f>
        <v>1109</v>
      </c>
      <c r="F1121" s="267" t="s">
        <v>121</v>
      </c>
      <c r="G1121" s="267"/>
      <c r="H1121" s="316">
        <v>12</v>
      </c>
      <c r="I1121" s="316"/>
      <c r="J1121" s="316">
        <v>12310</v>
      </c>
      <c r="K1121" s="322" t="s">
        <v>1831</v>
      </c>
      <c r="L1121" s="367" t="str">
        <f t="shared" si="778"/>
        <v>12310 mm</v>
      </c>
      <c r="M1121" s="319">
        <v>1</v>
      </c>
      <c r="N1121" s="296" t="s">
        <v>81</v>
      </c>
      <c r="O1121" s="297">
        <f>LEFT(L1121,SEARCH(" ",L1121,1)-1)*M1121/1000</f>
        <v>12.31</v>
      </c>
      <c r="P1121" s="296" t="s">
        <v>81</v>
      </c>
      <c r="Q1121" s="324">
        <f>VLOOKUP(H1121,BM!$B$3:$Y$62,22,FALSE)</f>
        <v>1.6</v>
      </c>
      <c r="R1121" s="271" t="s">
        <v>112</v>
      </c>
      <c r="S1121" s="290">
        <f t="shared" si="779"/>
        <v>19.696000000000002</v>
      </c>
      <c r="T1121" s="275">
        <v>1</v>
      </c>
      <c r="U1121" s="290">
        <f t="shared" si="780"/>
        <v>20.7</v>
      </c>
      <c r="V1121" s="276" t="s">
        <v>48</v>
      </c>
    </row>
    <row r="1122" spans="1:22" s="172" customFormat="1" ht="20.25" customHeight="1">
      <c r="A1122" s="263">
        <f t="shared" si="774"/>
        <v>1111</v>
      </c>
      <c r="B1122" s="263" t="s">
        <v>1263</v>
      </c>
      <c r="C1122" s="264">
        <f t="shared" si="762"/>
        <v>1111</v>
      </c>
      <c r="D1122" s="265" t="s">
        <v>1663</v>
      </c>
      <c r="E1122" s="279">
        <f>A1119</f>
        <v>1108</v>
      </c>
      <c r="F1122" s="267"/>
      <c r="G1122" s="267"/>
      <c r="H1122" s="268"/>
      <c r="I1122" s="268"/>
      <c r="J1122" s="269"/>
      <c r="K1122" s="269"/>
      <c r="L1122" s="269"/>
      <c r="M1122" s="319"/>
      <c r="N1122" s="271"/>
      <c r="O1122" s="280"/>
      <c r="P1122" s="271"/>
      <c r="Q1122" s="281"/>
      <c r="R1122" s="271"/>
      <c r="S1122" s="312"/>
      <c r="T1122" s="282"/>
      <c r="U1122" s="312"/>
      <c r="V1122" s="276"/>
    </row>
    <row r="1123" spans="1:22" s="172" customFormat="1" ht="20.25" customHeight="1">
      <c r="A1123" s="263" t="str">
        <f t="shared" si="774"/>
        <v/>
      </c>
      <c r="B1123" s="263"/>
      <c r="C1123" s="264">
        <f t="shared" si="762"/>
        <v>1112</v>
      </c>
      <c r="D1123" s="277" t="s">
        <v>1664</v>
      </c>
      <c r="E1123" s="293"/>
      <c r="F1123" s="267" t="s">
        <v>44</v>
      </c>
      <c r="G1123" s="267"/>
      <c r="H1123" s="316">
        <v>18</v>
      </c>
      <c r="I1123" s="316"/>
      <c r="J1123" s="316">
        <v>1480</v>
      </c>
      <c r="K1123" s="322" t="s">
        <v>1835</v>
      </c>
      <c r="L1123" s="367" t="str">
        <f t="shared" ref="L1123:L1125" si="782">J1123&amp;" "&amp;K1123</f>
        <v>1480 lg</v>
      </c>
      <c r="M1123" s="319">
        <v>1</v>
      </c>
      <c r="N1123" s="296" t="s">
        <v>81</v>
      </c>
      <c r="O1123" s="272">
        <v>1</v>
      </c>
      <c r="P1123" s="296" t="s">
        <v>81</v>
      </c>
      <c r="Q1123" s="273">
        <v>4</v>
      </c>
      <c r="R1123" s="271" t="s">
        <v>112</v>
      </c>
      <c r="S1123" s="290">
        <f t="shared" ref="S1123:S1125" si="783">O1123*Q1123</f>
        <v>4</v>
      </c>
      <c r="T1123" s="275">
        <v>1</v>
      </c>
      <c r="U1123" s="290">
        <f t="shared" si="780"/>
        <v>5</v>
      </c>
      <c r="V1123" s="276" t="s">
        <v>48</v>
      </c>
    </row>
    <row r="1124" spans="1:22" s="172" customFormat="1" ht="20.25" customHeight="1">
      <c r="A1124" s="263" t="str">
        <f t="shared" si="774"/>
        <v/>
      </c>
      <c r="B1124" s="263"/>
      <c r="C1124" s="264">
        <f t="shared" si="762"/>
        <v>1113</v>
      </c>
      <c r="D1124" s="277" t="s">
        <v>1665</v>
      </c>
      <c r="E1124" s="293">
        <f t="shared" ref="E1124:E1125" si="784">C1123</f>
        <v>1112</v>
      </c>
      <c r="F1124" s="267" t="s">
        <v>498</v>
      </c>
      <c r="G1124" s="267"/>
      <c r="H1124" s="316">
        <v>18</v>
      </c>
      <c r="I1124" s="316"/>
      <c r="J1124" s="316">
        <v>1251</v>
      </c>
      <c r="K1124" s="322" t="s">
        <v>1835</v>
      </c>
      <c r="L1124" s="367" t="str">
        <f t="shared" si="782"/>
        <v>1251 lg</v>
      </c>
      <c r="M1124" s="319">
        <v>1</v>
      </c>
      <c r="N1124" s="296" t="s">
        <v>81</v>
      </c>
      <c r="O1124" s="272">
        <v>1</v>
      </c>
      <c r="P1124" s="296" t="s">
        <v>81</v>
      </c>
      <c r="Q1124" s="273">
        <v>4</v>
      </c>
      <c r="R1124" s="271" t="s">
        <v>112</v>
      </c>
      <c r="S1124" s="290">
        <f t="shared" si="783"/>
        <v>4</v>
      </c>
      <c r="T1124" s="275">
        <v>1</v>
      </c>
      <c r="U1124" s="290">
        <f t="shared" si="780"/>
        <v>5</v>
      </c>
      <c r="V1124" s="276" t="s">
        <v>48</v>
      </c>
    </row>
    <row r="1125" spans="1:22" s="172" customFormat="1" ht="20.25" customHeight="1">
      <c r="A1125" s="263" t="str">
        <f t="shared" si="774"/>
        <v/>
      </c>
      <c r="B1125" s="263"/>
      <c r="C1125" s="264">
        <f t="shared" si="762"/>
        <v>1114</v>
      </c>
      <c r="D1125" s="277" t="s">
        <v>1666</v>
      </c>
      <c r="E1125" s="293">
        <f t="shared" si="784"/>
        <v>1113</v>
      </c>
      <c r="F1125" s="267" t="s">
        <v>115</v>
      </c>
      <c r="G1125" s="267"/>
      <c r="H1125" s="316">
        <v>12</v>
      </c>
      <c r="I1125" s="316"/>
      <c r="J1125" s="316">
        <v>6</v>
      </c>
      <c r="K1125" s="316"/>
      <c r="L1125" s="367" t="str">
        <f t="shared" si="782"/>
        <v xml:space="preserve">6 </v>
      </c>
      <c r="M1125" s="319">
        <v>1</v>
      </c>
      <c r="N1125" s="296" t="s">
        <v>81</v>
      </c>
      <c r="O1125" s="327">
        <f>L1125*M1125</f>
        <v>6</v>
      </c>
      <c r="P1125" s="271" t="s">
        <v>139</v>
      </c>
      <c r="Q1125" s="324">
        <f>VLOOKUP(H1125,BM!$B$3:$Y$62,22,FALSE)</f>
        <v>1.6</v>
      </c>
      <c r="R1125" s="271" t="s">
        <v>112</v>
      </c>
      <c r="S1125" s="290">
        <f t="shared" si="783"/>
        <v>9.6000000000000014</v>
      </c>
      <c r="T1125" s="275">
        <v>1</v>
      </c>
      <c r="U1125" s="290">
        <f t="shared" si="780"/>
        <v>10.6</v>
      </c>
      <c r="V1125" s="276" t="s">
        <v>48</v>
      </c>
    </row>
    <row r="1126" spans="1:22" s="172" customFormat="1" ht="20.25" customHeight="1">
      <c r="A1126" s="263">
        <f t="shared" si="774"/>
        <v>1115</v>
      </c>
      <c r="B1126" s="263" t="s">
        <v>1263</v>
      </c>
      <c r="C1126" s="264">
        <f t="shared" si="762"/>
        <v>1115</v>
      </c>
      <c r="D1126" s="265" t="s">
        <v>1667</v>
      </c>
      <c r="E1126" s="279">
        <f>A1122</f>
        <v>1111</v>
      </c>
      <c r="F1126" s="267"/>
      <c r="G1126" s="267"/>
      <c r="H1126" s="268"/>
      <c r="I1126" s="268"/>
      <c r="J1126" s="269"/>
      <c r="K1126" s="269"/>
      <c r="L1126" s="269"/>
      <c r="M1126" s="319"/>
      <c r="N1126" s="271"/>
      <c r="O1126" s="280"/>
      <c r="P1126" s="271"/>
      <c r="Q1126" s="281"/>
      <c r="R1126" s="271"/>
      <c r="S1126" s="312"/>
      <c r="T1126" s="282"/>
      <c r="U1126" s="312"/>
      <c r="V1126" s="276"/>
    </row>
    <row r="1127" spans="1:22" s="172" customFormat="1" ht="20.25" customHeight="1">
      <c r="A1127" s="263" t="str">
        <f t="shared" si="774"/>
        <v/>
      </c>
      <c r="B1127" s="263"/>
      <c r="C1127" s="264">
        <f t="shared" si="762"/>
        <v>1116</v>
      </c>
      <c r="D1127" s="277" t="s">
        <v>1668</v>
      </c>
      <c r="E1127" s="293"/>
      <c r="F1127" s="267" t="s">
        <v>149</v>
      </c>
      <c r="G1127" s="267"/>
      <c r="H1127" s="316">
        <v>18</v>
      </c>
      <c r="I1127" s="316"/>
      <c r="J1127" s="316">
        <v>1480</v>
      </c>
      <c r="K1127" s="322" t="s">
        <v>1835</v>
      </c>
      <c r="L1127" s="367" t="str">
        <f t="shared" ref="L1127:L1128" si="785">J1127&amp;" "&amp;K1127</f>
        <v>1480 lg</v>
      </c>
      <c r="M1127" s="319">
        <v>1</v>
      </c>
      <c r="N1127" s="296" t="s">
        <v>81</v>
      </c>
      <c r="O1127" s="272">
        <v>1</v>
      </c>
      <c r="P1127" s="296" t="s">
        <v>81</v>
      </c>
      <c r="Q1127" s="273">
        <v>8</v>
      </c>
      <c r="R1127" s="271" t="s">
        <v>112</v>
      </c>
      <c r="S1127" s="290">
        <f t="shared" ref="S1127:S1128" si="786">O1127*Q1127</f>
        <v>8</v>
      </c>
      <c r="T1127" s="275">
        <v>1</v>
      </c>
      <c r="U1127" s="290">
        <f t="shared" si="780"/>
        <v>9</v>
      </c>
      <c r="V1127" s="276" t="s">
        <v>48</v>
      </c>
    </row>
    <row r="1128" spans="1:22" s="172" customFormat="1" ht="20.25" customHeight="1">
      <c r="A1128" s="263" t="str">
        <f t="shared" si="774"/>
        <v/>
      </c>
      <c r="B1128" s="263"/>
      <c r="C1128" s="264">
        <f t="shared" si="762"/>
        <v>1117</v>
      </c>
      <c r="D1128" s="277" t="s">
        <v>1669</v>
      </c>
      <c r="E1128" s="293">
        <f t="shared" ref="E1128" si="787">C1127</f>
        <v>1116</v>
      </c>
      <c r="F1128" s="267" t="s">
        <v>63</v>
      </c>
      <c r="G1128" s="267"/>
      <c r="H1128" s="316">
        <v>18</v>
      </c>
      <c r="I1128" s="316"/>
      <c r="J1128" s="316">
        <v>1480</v>
      </c>
      <c r="K1128" s="322" t="s">
        <v>1835</v>
      </c>
      <c r="L1128" s="367" t="str">
        <f t="shared" si="785"/>
        <v>1480 lg</v>
      </c>
      <c r="M1128" s="319">
        <v>1</v>
      </c>
      <c r="N1128" s="296" t="s">
        <v>81</v>
      </c>
      <c r="O1128" s="272">
        <v>1</v>
      </c>
      <c r="P1128" s="296" t="s">
        <v>81</v>
      </c>
      <c r="Q1128" s="273">
        <v>1</v>
      </c>
      <c r="R1128" s="271" t="s">
        <v>41</v>
      </c>
      <c r="S1128" s="290">
        <f t="shared" si="786"/>
        <v>1</v>
      </c>
      <c r="T1128" s="275"/>
      <c r="U1128" s="290">
        <f t="shared" si="780"/>
        <v>1</v>
      </c>
      <c r="V1128" s="276" t="s">
        <v>48</v>
      </c>
    </row>
    <row r="1129" spans="1:22" s="172" customFormat="1" ht="20.25" customHeight="1">
      <c r="A1129" s="263">
        <f t="shared" si="774"/>
        <v>1118</v>
      </c>
      <c r="B1129" s="263" t="s">
        <v>1263</v>
      </c>
      <c r="C1129" s="264">
        <f t="shared" si="762"/>
        <v>1118</v>
      </c>
      <c r="D1129" s="265" t="s">
        <v>1670</v>
      </c>
      <c r="E1129" s="279">
        <f>A1126</f>
        <v>1115</v>
      </c>
      <c r="F1129" s="267"/>
      <c r="G1129" s="267"/>
      <c r="H1129" s="268"/>
      <c r="I1129" s="268"/>
      <c r="J1129" s="269"/>
      <c r="K1129" s="269"/>
      <c r="L1129" s="269"/>
      <c r="M1129" s="319"/>
      <c r="N1129" s="271"/>
      <c r="O1129" s="280"/>
      <c r="P1129" s="271"/>
      <c r="Q1129" s="281"/>
      <c r="R1129" s="271"/>
      <c r="S1129" s="312"/>
      <c r="T1129" s="282"/>
      <c r="U1129" s="312"/>
      <c r="V1129" s="276"/>
    </row>
    <row r="1130" spans="1:22" s="172" customFormat="1" ht="20.25" customHeight="1">
      <c r="A1130" s="263">
        <f t="shared" si="774"/>
        <v>1119</v>
      </c>
      <c r="B1130" s="263" t="s">
        <v>1263</v>
      </c>
      <c r="C1130" s="264">
        <f t="shared" si="762"/>
        <v>1119</v>
      </c>
      <c r="D1130" s="265" t="s">
        <v>1671</v>
      </c>
      <c r="E1130" s="279">
        <v>7</v>
      </c>
      <c r="F1130" s="267"/>
      <c r="G1130" s="267"/>
      <c r="H1130" s="268"/>
      <c r="I1130" s="268"/>
      <c r="J1130" s="269"/>
      <c r="K1130" s="269"/>
      <c r="L1130" s="269"/>
      <c r="M1130" s="319">
        <v>1</v>
      </c>
      <c r="N1130" s="296" t="s">
        <v>81</v>
      </c>
      <c r="O1130" s="272">
        <v>1</v>
      </c>
      <c r="P1130" s="296" t="s">
        <v>81</v>
      </c>
      <c r="Q1130" s="273">
        <v>4</v>
      </c>
      <c r="R1130" s="271" t="s">
        <v>41</v>
      </c>
      <c r="S1130" s="290">
        <f t="shared" ref="S1130:S1136" si="788">O1130*Q1130</f>
        <v>4</v>
      </c>
      <c r="T1130" s="275"/>
      <c r="U1130" s="290">
        <f t="shared" si="780"/>
        <v>4</v>
      </c>
      <c r="V1130" s="276" t="s">
        <v>48</v>
      </c>
    </row>
    <row r="1131" spans="1:22" s="172" customFormat="1" ht="20.25" customHeight="1">
      <c r="A1131" s="263" t="str">
        <f t="shared" si="774"/>
        <v/>
      </c>
      <c r="B1131" s="263"/>
      <c r="C1131" s="264">
        <f t="shared" si="762"/>
        <v>1120</v>
      </c>
      <c r="D1131" s="277" t="s">
        <v>1672</v>
      </c>
      <c r="E1131" s="293"/>
      <c r="F1131" s="267" t="s">
        <v>37</v>
      </c>
      <c r="G1131" s="267"/>
      <c r="H1131" s="316">
        <v>18</v>
      </c>
      <c r="I1131" s="316"/>
      <c r="J1131" s="316">
        <v>373</v>
      </c>
      <c r="K1131" s="322" t="s">
        <v>1831</v>
      </c>
      <c r="L1131" s="367" t="str">
        <f t="shared" ref="L1131:L1136" si="789">J1131&amp;" "&amp;K1131</f>
        <v>373 mm</v>
      </c>
      <c r="M1131" s="319">
        <v>1</v>
      </c>
      <c r="N1131" s="271" t="s">
        <v>81</v>
      </c>
      <c r="O1131" s="297">
        <f>LEFT(L1131,SEARCH(" ",L1131,1)-1)*M1131/1000</f>
        <v>0.373</v>
      </c>
      <c r="P1131" s="271" t="s">
        <v>139</v>
      </c>
      <c r="Q1131" s="324">
        <f>VLOOKUP(H1131,BM!$B$3:$Y$62,2,FALSE)</f>
        <v>0.1</v>
      </c>
      <c r="R1131" s="271" t="s">
        <v>47</v>
      </c>
      <c r="S1131" s="290">
        <f t="shared" si="788"/>
        <v>3.73E-2</v>
      </c>
      <c r="T1131" s="275">
        <v>1</v>
      </c>
      <c r="U1131" s="290">
        <f t="shared" si="780"/>
        <v>1.04</v>
      </c>
      <c r="V1131" s="276" t="s">
        <v>48</v>
      </c>
    </row>
    <row r="1132" spans="1:22" s="172" customFormat="1" ht="20.25" customHeight="1">
      <c r="A1132" s="263" t="str">
        <f t="shared" si="774"/>
        <v/>
      </c>
      <c r="B1132" s="263"/>
      <c r="C1132" s="264">
        <f t="shared" si="762"/>
        <v>1121</v>
      </c>
      <c r="D1132" s="277" t="s">
        <v>1673</v>
      </c>
      <c r="E1132" s="293">
        <f t="shared" ref="E1132:E1136" si="790">C1131</f>
        <v>1120</v>
      </c>
      <c r="F1132" s="267" t="s">
        <v>201</v>
      </c>
      <c r="G1132" s="267"/>
      <c r="H1132" s="316">
        <v>18</v>
      </c>
      <c r="I1132" s="316"/>
      <c r="J1132" s="316">
        <v>11300</v>
      </c>
      <c r="K1132" s="322" t="s">
        <v>1831</v>
      </c>
      <c r="L1132" s="367" t="str">
        <f t="shared" si="789"/>
        <v>11300 mm</v>
      </c>
      <c r="M1132" s="319">
        <v>1</v>
      </c>
      <c r="N1132" s="271" t="s">
        <v>81</v>
      </c>
      <c r="O1132" s="297">
        <f t="shared" ref="O1132:O1136" si="791">LEFT(L1132,SEARCH(" ",L1132,1)-1)*M1132/1000</f>
        <v>11.3</v>
      </c>
      <c r="P1132" s="271" t="s">
        <v>139</v>
      </c>
      <c r="Q1132" s="324">
        <f>VLOOKUP(H1132,BM!$B$3:$Y$62,3,FALSE)</f>
        <v>0.25</v>
      </c>
      <c r="R1132" s="271" t="s">
        <v>47</v>
      </c>
      <c r="S1132" s="290">
        <f t="shared" si="788"/>
        <v>2.8250000000000002</v>
      </c>
      <c r="T1132" s="275">
        <v>1</v>
      </c>
      <c r="U1132" s="290">
        <f t="shared" si="780"/>
        <v>3.83</v>
      </c>
      <c r="V1132" s="276" t="s">
        <v>48</v>
      </c>
    </row>
    <row r="1133" spans="1:22" s="172" customFormat="1" ht="20.25" customHeight="1">
      <c r="A1133" s="263" t="str">
        <f t="shared" si="774"/>
        <v/>
      </c>
      <c r="B1133" s="263"/>
      <c r="C1133" s="264">
        <f t="shared" si="762"/>
        <v>1122</v>
      </c>
      <c r="D1133" s="277" t="s">
        <v>1674</v>
      </c>
      <c r="E1133" s="293">
        <f t="shared" si="790"/>
        <v>1121</v>
      </c>
      <c r="F1133" s="267" t="s">
        <v>52</v>
      </c>
      <c r="G1133" s="267"/>
      <c r="H1133" s="316">
        <v>18</v>
      </c>
      <c r="I1133" s="316"/>
      <c r="J1133" s="317">
        <f t="shared" ref="J1133" si="792">J1132</f>
        <v>11300</v>
      </c>
      <c r="K1133" s="317" t="str">
        <f t="shared" ref="K1133:L1136" si="793">K1132</f>
        <v>mm</v>
      </c>
      <c r="L1133" s="367" t="str">
        <f t="shared" si="789"/>
        <v>11300 mm</v>
      </c>
      <c r="M1133" s="319">
        <v>1</v>
      </c>
      <c r="N1133" s="271" t="s">
        <v>81</v>
      </c>
      <c r="O1133" s="297">
        <f t="shared" si="791"/>
        <v>11.3</v>
      </c>
      <c r="P1133" s="271" t="s">
        <v>139</v>
      </c>
      <c r="Q1133" s="324">
        <f>VLOOKUP(H1133,BM!$B$3:$Y$62,4,FALSE)</f>
        <v>0.15</v>
      </c>
      <c r="R1133" s="271" t="s">
        <v>47</v>
      </c>
      <c r="S1133" s="290">
        <f t="shared" si="788"/>
        <v>1.6950000000000001</v>
      </c>
      <c r="T1133" s="275">
        <v>1</v>
      </c>
      <c r="U1133" s="290">
        <f t="shared" si="780"/>
        <v>2.7</v>
      </c>
      <c r="V1133" s="276" t="s">
        <v>48</v>
      </c>
    </row>
    <row r="1134" spans="1:22" s="172" customFormat="1" ht="20.25" customHeight="1">
      <c r="A1134" s="263" t="str">
        <f t="shared" si="774"/>
        <v/>
      </c>
      <c r="B1134" s="263"/>
      <c r="C1134" s="264">
        <f t="shared" si="762"/>
        <v>1123</v>
      </c>
      <c r="D1134" s="277" t="s">
        <v>1675</v>
      </c>
      <c r="E1134" s="293">
        <f t="shared" si="790"/>
        <v>1122</v>
      </c>
      <c r="F1134" s="267" t="s">
        <v>61</v>
      </c>
      <c r="G1134" s="267"/>
      <c r="H1134" s="316">
        <v>18</v>
      </c>
      <c r="I1134" s="316"/>
      <c r="J1134" s="317">
        <f t="shared" ref="J1134" si="794">J1133</f>
        <v>11300</v>
      </c>
      <c r="K1134" s="317" t="str">
        <f t="shared" si="793"/>
        <v>mm</v>
      </c>
      <c r="L1134" s="367" t="str">
        <f t="shared" si="789"/>
        <v>11300 mm</v>
      </c>
      <c r="M1134" s="319">
        <v>1</v>
      </c>
      <c r="N1134" s="271" t="s">
        <v>81</v>
      </c>
      <c r="O1134" s="297">
        <f t="shared" si="791"/>
        <v>11.3</v>
      </c>
      <c r="P1134" s="271" t="s">
        <v>139</v>
      </c>
      <c r="Q1134" s="324">
        <f>VLOOKUP(H1134,BM!$B$3:$Y$62,5,FALSE)</f>
        <v>0.5</v>
      </c>
      <c r="R1134" s="271" t="s">
        <v>47</v>
      </c>
      <c r="S1134" s="290">
        <f t="shared" si="788"/>
        <v>5.65</v>
      </c>
      <c r="T1134" s="275">
        <v>1</v>
      </c>
      <c r="U1134" s="290">
        <f t="shared" si="780"/>
        <v>6.65</v>
      </c>
      <c r="V1134" s="276" t="s">
        <v>48</v>
      </c>
    </row>
    <row r="1135" spans="1:22" s="172" customFormat="1" ht="20.25" customHeight="1">
      <c r="A1135" s="263" t="str">
        <f t="shared" si="774"/>
        <v/>
      </c>
      <c r="B1135" s="263"/>
      <c r="C1135" s="264">
        <f t="shared" si="762"/>
        <v>1124</v>
      </c>
      <c r="D1135" s="277" t="s">
        <v>1676</v>
      </c>
      <c r="E1135" s="293">
        <f t="shared" si="790"/>
        <v>1123</v>
      </c>
      <c r="F1135" s="267" t="s">
        <v>224</v>
      </c>
      <c r="G1135" s="267"/>
      <c r="H1135" s="316">
        <v>18</v>
      </c>
      <c r="I1135" s="316"/>
      <c r="J1135" s="317">
        <f t="shared" ref="J1135" si="795">J1134</f>
        <v>11300</v>
      </c>
      <c r="K1135" s="317" t="str">
        <f t="shared" si="793"/>
        <v>mm</v>
      </c>
      <c r="L1135" s="367" t="str">
        <f t="shared" si="789"/>
        <v>11300 mm</v>
      </c>
      <c r="M1135" s="319">
        <v>1</v>
      </c>
      <c r="N1135" s="271" t="s">
        <v>81</v>
      </c>
      <c r="O1135" s="297">
        <f t="shared" si="791"/>
        <v>11.3</v>
      </c>
      <c r="P1135" s="271" t="s">
        <v>139</v>
      </c>
      <c r="Q1135" s="324">
        <f>VLOOKUP(H1135,BM!$B$3:$Y$62,6,FALSE)</f>
        <v>1</v>
      </c>
      <c r="R1135" s="271" t="s">
        <v>47</v>
      </c>
      <c r="S1135" s="290">
        <f t="shared" si="788"/>
        <v>11.3</v>
      </c>
      <c r="T1135" s="275">
        <v>1</v>
      </c>
      <c r="U1135" s="290">
        <f t="shared" si="780"/>
        <v>12.3</v>
      </c>
      <c r="V1135" s="276" t="s">
        <v>48</v>
      </c>
    </row>
    <row r="1136" spans="1:22" s="172" customFormat="1" ht="20.25" customHeight="1">
      <c r="A1136" s="263" t="str">
        <f t="shared" si="774"/>
        <v/>
      </c>
      <c r="B1136" s="263"/>
      <c r="C1136" s="264">
        <f t="shared" si="762"/>
        <v>1125</v>
      </c>
      <c r="D1136" s="277" t="s">
        <v>1593</v>
      </c>
      <c r="E1136" s="293">
        <f t="shared" si="790"/>
        <v>1124</v>
      </c>
      <c r="F1136" s="267" t="s">
        <v>61</v>
      </c>
      <c r="G1136" s="267"/>
      <c r="H1136" s="316">
        <v>18</v>
      </c>
      <c r="I1136" s="316"/>
      <c r="J1136" s="317">
        <f t="shared" ref="J1136" si="796">J1135</f>
        <v>11300</v>
      </c>
      <c r="K1136" s="317" t="str">
        <f t="shared" si="793"/>
        <v>mm</v>
      </c>
      <c r="L1136" s="367" t="str">
        <f t="shared" si="789"/>
        <v>11300 mm</v>
      </c>
      <c r="M1136" s="319">
        <v>1</v>
      </c>
      <c r="N1136" s="271" t="s">
        <v>81</v>
      </c>
      <c r="O1136" s="297">
        <f t="shared" si="791"/>
        <v>11.3</v>
      </c>
      <c r="P1136" s="271" t="s">
        <v>139</v>
      </c>
      <c r="Q1136" s="324">
        <f>VLOOKUP(H1136,BM!$B$3:$Y$62,6,FALSE)</f>
        <v>1</v>
      </c>
      <c r="R1136" s="271" t="s">
        <v>47</v>
      </c>
      <c r="S1136" s="290">
        <f t="shared" si="788"/>
        <v>11.3</v>
      </c>
      <c r="T1136" s="275">
        <v>1</v>
      </c>
      <c r="U1136" s="290">
        <f t="shared" si="780"/>
        <v>12.3</v>
      </c>
      <c r="V1136" s="276" t="s">
        <v>48</v>
      </c>
    </row>
    <row r="1137" spans="1:22" s="172" customFormat="1" ht="20.25" customHeight="1">
      <c r="A1137" s="263">
        <f t="shared" si="774"/>
        <v>1126</v>
      </c>
      <c r="B1137" s="263" t="s">
        <v>1263</v>
      </c>
      <c r="C1137" s="264">
        <f t="shared" si="762"/>
        <v>1126</v>
      </c>
      <c r="D1137" s="265" t="s">
        <v>1677</v>
      </c>
      <c r="E1137" s="279">
        <f>A1130</f>
        <v>1119</v>
      </c>
      <c r="F1137" s="267"/>
      <c r="G1137" s="267"/>
      <c r="H1137" s="268"/>
      <c r="I1137" s="268"/>
      <c r="J1137" s="269"/>
      <c r="K1137" s="269"/>
      <c r="L1137" s="269"/>
      <c r="M1137" s="319"/>
      <c r="N1137" s="271"/>
      <c r="O1137" s="280"/>
      <c r="P1137" s="271"/>
      <c r="Q1137" s="281"/>
      <c r="R1137" s="271"/>
      <c r="S1137" s="312"/>
      <c r="T1137" s="282"/>
      <c r="U1137" s="312"/>
      <c r="V1137" s="276"/>
    </row>
    <row r="1138" spans="1:22" s="172" customFormat="1" ht="20.25" customHeight="1">
      <c r="A1138" s="263" t="str">
        <f t="shared" si="774"/>
        <v/>
      </c>
      <c r="B1138" s="263"/>
      <c r="C1138" s="264">
        <f t="shared" si="762"/>
        <v>1127</v>
      </c>
      <c r="D1138" s="277" t="s">
        <v>1678</v>
      </c>
      <c r="E1138" s="293"/>
      <c r="F1138" s="267" t="s">
        <v>286</v>
      </c>
      <c r="G1138" s="267"/>
      <c r="H1138" s="308">
        <f>H1136</f>
        <v>18</v>
      </c>
      <c r="I1138" s="308"/>
      <c r="J1138" s="315">
        <v>1664</v>
      </c>
      <c r="K1138" s="294" t="s">
        <v>1833</v>
      </c>
      <c r="L1138" s="367" t="str">
        <f t="shared" ref="L1138:L1141" si="797">J1138&amp;" "&amp;K1138</f>
        <v>1664 mm id</v>
      </c>
      <c r="M1138" s="319">
        <v>1</v>
      </c>
      <c r="N1138" s="271" t="s">
        <v>81</v>
      </c>
      <c r="O1138" s="272">
        <v>1</v>
      </c>
      <c r="P1138" s="271" t="s">
        <v>139</v>
      </c>
      <c r="Q1138" s="273">
        <v>3</v>
      </c>
      <c r="R1138" s="271" t="s">
        <v>112</v>
      </c>
      <c r="S1138" s="290">
        <f t="shared" ref="S1138:S1141" si="798">O1138*Q1138</f>
        <v>3</v>
      </c>
      <c r="T1138" s="275">
        <v>1</v>
      </c>
      <c r="U1138" s="290">
        <f t="shared" si="780"/>
        <v>4</v>
      </c>
      <c r="V1138" s="276" t="s">
        <v>48</v>
      </c>
    </row>
    <row r="1139" spans="1:22" s="172" customFormat="1" ht="20.25" customHeight="1">
      <c r="A1139" s="263" t="str">
        <f t="shared" si="774"/>
        <v/>
      </c>
      <c r="B1139" s="263"/>
      <c r="C1139" s="264">
        <f t="shared" si="762"/>
        <v>1128</v>
      </c>
      <c r="D1139" s="277" t="s">
        <v>1679</v>
      </c>
      <c r="E1139" s="293">
        <f t="shared" ref="E1139:E1141" si="799">C1138</f>
        <v>1127</v>
      </c>
      <c r="F1139" s="267" t="s">
        <v>420</v>
      </c>
      <c r="G1139" s="267"/>
      <c r="H1139" s="308">
        <f t="shared" ref="H1139:H1141" si="800">H1138</f>
        <v>18</v>
      </c>
      <c r="I1139" s="308"/>
      <c r="J1139" s="308">
        <f t="shared" ref="J1139:K1139" si="801">J1138</f>
        <v>1664</v>
      </c>
      <c r="K1139" s="308" t="str">
        <f t="shared" si="801"/>
        <v>mm id</v>
      </c>
      <c r="L1139" s="367" t="str">
        <f t="shared" si="797"/>
        <v>1664 mm id</v>
      </c>
      <c r="M1139" s="319">
        <v>1</v>
      </c>
      <c r="N1139" s="271" t="s">
        <v>81</v>
      </c>
      <c r="O1139" s="297">
        <f>LEFT(L1139,SEARCH(" ",L1139,1)-1)*M1139*2/1000</f>
        <v>3.3279999999999998</v>
      </c>
      <c r="P1139" s="296" t="s">
        <v>81</v>
      </c>
      <c r="Q1139" s="324">
        <f>VLOOKUP(H1139,BM!$B$3:$Y$62,8,FALSE)</f>
        <v>0.3</v>
      </c>
      <c r="R1139" s="271" t="s">
        <v>112</v>
      </c>
      <c r="S1139" s="290">
        <f t="shared" si="798"/>
        <v>0.99839999999999995</v>
      </c>
      <c r="T1139" s="275">
        <v>1</v>
      </c>
      <c r="U1139" s="290">
        <f t="shared" si="780"/>
        <v>2</v>
      </c>
      <c r="V1139" s="276" t="s">
        <v>48</v>
      </c>
    </row>
    <row r="1140" spans="1:22" s="172" customFormat="1" ht="20.25" customHeight="1">
      <c r="A1140" s="263" t="str">
        <f t="shared" si="774"/>
        <v/>
      </c>
      <c r="B1140" s="263"/>
      <c r="C1140" s="264">
        <f t="shared" si="762"/>
        <v>1129</v>
      </c>
      <c r="D1140" s="277" t="s">
        <v>1680</v>
      </c>
      <c r="E1140" s="293">
        <f t="shared" si="799"/>
        <v>1128</v>
      </c>
      <c r="F1140" s="267" t="s">
        <v>348</v>
      </c>
      <c r="G1140" s="267"/>
      <c r="H1140" s="308">
        <f t="shared" si="800"/>
        <v>18</v>
      </c>
      <c r="I1140" s="308"/>
      <c r="J1140" s="308">
        <f t="shared" ref="J1140:K1140" si="802">J1139</f>
        <v>1664</v>
      </c>
      <c r="K1140" s="308" t="str">
        <f t="shared" si="802"/>
        <v>mm id</v>
      </c>
      <c r="L1140" s="367" t="str">
        <f t="shared" si="797"/>
        <v>1664 mm id</v>
      </c>
      <c r="M1140" s="319">
        <v>1</v>
      </c>
      <c r="N1140" s="271" t="s">
        <v>81</v>
      </c>
      <c r="O1140" s="297">
        <f>LEFT(L1140,SEARCH(" ",L1140,1)-1)*M1140*2/1000</f>
        <v>3.3279999999999998</v>
      </c>
      <c r="P1140" s="271" t="s">
        <v>139</v>
      </c>
      <c r="Q1140" s="324">
        <f>VLOOKUP(H1140,BM!$B$3:$Y$62,9,FALSE)</f>
        <v>1</v>
      </c>
      <c r="R1140" s="271" t="s">
        <v>112</v>
      </c>
      <c r="S1140" s="290">
        <f t="shared" si="798"/>
        <v>3.3279999999999998</v>
      </c>
      <c r="T1140" s="275">
        <v>1</v>
      </c>
      <c r="U1140" s="290">
        <f t="shared" si="780"/>
        <v>4.33</v>
      </c>
      <c r="V1140" s="276" t="s">
        <v>48</v>
      </c>
    </row>
    <row r="1141" spans="1:22" s="172" customFormat="1" ht="20.25" customHeight="1">
      <c r="A1141" s="263" t="str">
        <f t="shared" si="774"/>
        <v/>
      </c>
      <c r="B1141" s="263"/>
      <c r="C1141" s="264">
        <f t="shared" si="762"/>
        <v>1130</v>
      </c>
      <c r="D1141" s="277" t="s">
        <v>1681</v>
      </c>
      <c r="E1141" s="293">
        <f t="shared" si="799"/>
        <v>1129</v>
      </c>
      <c r="F1141" s="267" t="s">
        <v>286</v>
      </c>
      <c r="G1141" s="267"/>
      <c r="H1141" s="308">
        <f t="shared" si="800"/>
        <v>18</v>
      </c>
      <c r="I1141" s="308"/>
      <c r="J1141" s="308">
        <f t="shared" ref="J1141:K1141" si="803">J1140</f>
        <v>1664</v>
      </c>
      <c r="K1141" s="308" t="str">
        <f t="shared" si="803"/>
        <v>mm id</v>
      </c>
      <c r="L1141" s="367" t="str">
        <f t="shared" si="797"/>
        <v>1664 mm id</v>
      </c>
      <c r="M1141" s="319">
        <v>1</v>
      </c>
      <c r="N1141" s="271" t="s">
        <v>81</v>
      </c>
      <c r="O1141" s="305">
        <v>1</v>
      </c>
      <c r="P1141" s="296" t="s">
        <v>81</v>
      </c>
      <c r="Q1141" s="273">
        <v>3</v>
      </c>
      <c r="R1141" s="271" t="s">
        <v>112</v>
      </c>
      <c r="S1141" s="290">
        <f t="shared" si="798"/>
        <v>3</v>
      </c>
      <c r="T1141" s="275">
        <v>1</v>
      </c>
      <c r="U1141" s="290">
        <f t="shared" si="780"/>
        <v>4</v>
      </c>
      <c r="V1141" s="276" t="s">
        <v>48</v>
      </c>
    </row>
    <row r="1142" spans="1:22" s="172" customFormat="1" ht="20.25" customHeight="1">
      <c r="A1142" s="263">
        <f t="shared" si="774"/>
        <v>1131</v>
      </c>
      <c r="B1142" s="263" t="s">
        <v>1263</v>
      </c>
      <c r="C1142" s="264">
        <f t="shared" si="762"/>
        <v>1131</v>
      </c>
      <c r="D1142" s="265" t="s">
        <v>1682</v>
      </c>
      <c r="E1142" s="279">
        <f>A1137</f>
        <v>1126</v>
      </c>
      <c r="F1142" s="267"/>
      <c r="G1142" s="267"/>
      <c r="H1142" s="268"/>
      <c r="I1142" s="268"/>
      <c r="J1142" s="269"/>
      <c r="K1142" s="269"/>
      <c r="L1142" s="269"/>
      <c r="M1142" s="319"/>
      <c r="N1142" s="271"/>
      <c r="O1142" s="280"/>
      <c r="P1142" s="271"/>
      <c r="Q1142" s="281"/>
      <c r="R1142" s="271"/>
      <c r="S1142" s="312"/>
      <c r="T1142" s="282"/>
      <c r="U1142" s="312"/>
      <c r="V1142" s="276"/>
    </row>
    <row r="1143" spans="1:22" s="172" customFormat="1" ht="20.25" customHeight="1">
      <c r="A1143" s="263" t="str">
        <f t="shared" si="774"/>
        <v/>
      </c>
      <c r="B1143" s="263"/>
      <c r="C1143" s="264">
        <f t="shared" si="762"/>
        <v>1132</v>
      </c>
      <c r="D1143" s="277" t="s">
        <v>1683</v>
      </c>
      <c r="E1143" s="293"/>
      <c r="F1143" s="267" t="s">
        <v>348</v>
      </c>
      <c r="G1143" s="267"/>
      <c r="H1143" s="308">
        <f>H1141</f>
        <v>18</v>
      </c>
      <c r="I1143" s="308"/>
      <c r="J1143" s="308">
        <f>J1141</f>
        <v>1664</v>
      </c>
      <c r="K1143" s="308" t="str">
        <f>K1141</f>
        <v>mm id</v>
      </c>
      <c r="L1143" s="367" t="str">
        <f t="shared" ref="L1143" si="804">J1143&amp;" "&amp;K1143</f>
        <v>1664 mm id</v>
      </c>
      <c r="M1143" s="319">
        <v>1</v>
      </c>
      <c r="N1143" s="271" t="s">
        <v>81</v>
      </c>
      <c r="O1143" s="297">
        <f t="shared" ref="O1143" si="805">LEFT(L1143,SEARCH(" ",L1143,1)-1)*M1143*2/1000</f>
        <v>3.3279999999999998</v>
      </c>
      <c r="P1143" s="271" t="s">
        <v>139</v>
      </c>
      <c r="Q1143" s="324">
        <f>VLOOKUP(H1143,BM!$B$3:$Y$62,9,FALSE)</f>
        <v>1</v>
      </c>
      <c r="R1143" s="271" t="s">
        <v>112</v>
      </c>
      <c r="S1143" s="290">
        <f t="shared" ref="S1143:S1144" si="806">O1143*Q1143</f>
        <v>3.3279999999999998</v>
      </c>
      <c r="T1143" s="275">
        <v>1</v>
      </c>
      <c r="U1143" s="290">
        <f t="shared" si="780"/>
        <v>4.33</v>
      </c>
      <c r="V1143" s="276" t="s">
        <v>48</v>
      </c>
    </row>
    <row r="1144" spans="1:22" s="172" customFormat="1" ht="20.25" customHeight="1">
      <c r="A1144" s="263" t="str">
        <f t="shared" si="774"/>
        <v/>
      </c>
      <c r="B1144" s="263"/>
      <c r="C1144" s="264">
        <f t="shared" si="762"/>
        <v>1133</v>
      </c>
      <c r="D1144" s="277" t="s">
        <v>1684</v>
      </c>
      <c r="E1144" s="293">
        <f t="shared" ref="E1144" si="807">C1143</f>
        <v>1132</v>
      </c>
      <c r="F1144" s="267" t="s">
        <v>111</v>
      </c>
      <c r="G1144" s="267"/>
      <c r="H1144" s="308">
        <f>H1143</f>
        <v>18</v>
      </c>
      <c r="I1144" s="308"/>
      <c r="J1144" s="308">
        <f>J1141</f>
        <v>1664</v>
      </c>
      <c r="K1144" s="308" t="str">
        <f>K1141</f>
        <v>mm id</v>
      </c>
      <c r="L1144" s="367" t="str">
        <f t="shared" ref="L1144" si="808">J1144&amp;" "&amp;K1144</f>
        <v>1664 mm id</v>
      </c>
      <c r="M1144" s="319">
        <v>1</v>
      </c>
      <c r="N1144" s="271" t="s">
        <v>81</v>
      </c>
      <c r="O1144" s="297">
        <f>LEFT(L1144,SEARCH(" ",L1144,1)-1)*M1144/1000</f>
        <v>1.6639999999999999</v>
      </c>
      <c r="P1144" s="271" t="s">
        <v>139</v>
      </c>
      <c r="Q1144" s="324">
        <f>VLOOKUP(H1144,BM!$B$3:$Y$62,10,FALSE)</f>
        <v>1</v>
      </c>
      <c r="R1144" s="271" t="s">
        <v>112</v>
      </c>
      <c r="S1144" s="290">
        <f t="shared" si="806"/>
        <v>1.6639999999999999</v>
      </c>
      <c r="T1144" s="275">
        <v>1</v>
      </c>
      <c r="U1144" s="290">
        <f t="shared" si="780"/>
        <v>2.66</v>
      </c>
      <c r="V1144" s="276" t="s">
        <v>48</v>
      </c>
    </row>
    <row r="1145" spans="1:22" s="172" customFormat="1" ht="20.25" customHeight="1">
      <c r="A1145" s="263">
        <f t="shared" si="774"/>
        <v>1134</v>
      </c>
      <c r="B1145" s="263" t="s">
        <v>1263</v>
      </c>
      <c r="C1145" s="264">
        <f t="shared" si="762"/>
        <v>1134</v>
      </c>
      <c r="D1145" s="265" t="s">
        <v>1685</v>
      </c>
      <c r="E1145" s="279">
        <f>A1142</f>
        <v>1131</v>
      </c>
      <c r="F1145" s="267"/>
      <c r="G1145" s="267"/>
      <c r="H1145" s="268"/>
      <c r="I1145" s="268"/>
      <c r="J1145" s="269"/>
      <c r="K1145" s="269"/>
      <c r="L1145" s="269"/>
      <c r="M1145" s="319"/>
      <c r="N1145" s="271"/>
      <c r="O1145" s="280"/>
      <c r="P1145" s="271"/>
      <c r="Q1145" s="281"/>
      <c r="R1145" s="271"/>
      <c r="S1145" s="312"/>
      <c r="T1145" s="282"/>
      <c r="U1145" s="312"/>
      <c r="V1145" s="276"/>
    </row>
    <row r="1146" spans="1:22" s="172" customFormat="1" ht="20.25" customHeight="1">
      <c r="A1146" s="263" t="str">
        <f t="shared" si="774"/>
        <v/>
      </c>
      <c r="B1146" s="263"/>
      <c r="C1146" s="264">
        <f t="shared" si="762"/>
        <v>1135</v>
      </c>
      <c r="D1146" s="277" t="s">
        <v>1686</v>
      </c>
      <c r="E1146" s="293"/>
      <c r="F1146" s="267" t="s">
        <v>201</v>
      </c>
      <c r="G1146" s="267"/>
      <c r="H1146" s="308">
        <f>H1144</f>
        <v>18</v>
      </c>
      <c r="I1146" s="308"/>
      <c r="J1146" s="308">
        <f t="shared" ref="J1146" si="809">J1144</f>
        <v>1664</v>
      </c>
      <c r="K1146" s="308" t="str">
        <f t="shared" ref="K1146:L1146" si="810">K1144</f>
        <v>mm id</v>
      </c>
      <c r="L1146" s="367" t="str">
        <f t="shared" ref="L1146" si="811">J1146&amp;" "&amp;K1146</f>
        <v>1664 mm id</v>
      </c>
      <c r="M1146" s="319">
        <v>1</v>
      </c>
      <c r="N1146" s="271" t="s">
        <v>81</v>
      </c>
      <c r="O1146" s="272">
        <v>1</v>
      </c>
      <c r="P1146" s="296" t="s">
        <v>81</v>
      </c>
      <c r="Q1146" s="273">
        <v>1</v>
      </c>
      <c r="R1146" s="271" t="s">
        <v>112</v>
      </c>
      <c r="S1146" s="290">
        <f t="shared" ref="S1146:S1151" si="812">O1146*Q1146</f>
        <v>1</v>
      </c>
      <c r="T1146" s="275">
        <v>1</v>
      </c>
      <c r="U1146" s="290">
        <f t="shared" si="780"/>
        <v>2</v>
      </c>
      <c r="V1146" s="276" t="s">
        <v>48</v>
      </c>
    </row>
    <row r="1147" spans="1:22" s="172" customFormat="1" ht="20.25" customHeight="1">
      <c r="A1147" s="263" t="str">
        <f t="shared" si="774"/>
        <v/>
      </c>
      <c r="B1147" s="263"/>
      <c r="C1147" s="264">
        <f t="shared" si="762"/>
        <v>1136</v>
      </c>
      <c r="D1147" s="277" t="s">
        <v>1687</v>
      </c>
      <c r="E1147" s="293">
        <f t="shared" ref="E1147:E1151" si="813">C1146</f>
        <v>1135</v>
      </c>
      <c r="F1147" s="267" t="s">
        <v>115</v>
      </c>
      <c r="G1147" s="267"/>
      <c r="H1147" s="316">
        <v>12</v>
      </c>
      <c r="I1147" s="316"/>
      <c r="J1147" s="308">
        <f t="shared" ref="J1147" si="814">J1146</f>
        <v>1664</v>
      </c>
      <c r="K1147" s="308" t="str">
        <f t="shared" ref="K1147:L1151" si="815">K1146</f>
        <v>mm id</v>
      </c>
      <c r="L1147" s="367" t="str">
        <f t="shared" ref="L1147" si="816">J1147&amp;" "&amp;K1147</f>
        <v>1664 mm id</v>
      </c>
      <c r="M1147" s="319">
        <v>1</v>
      </c>
      <c r="N1147" s="271" t="s">
        <v>81</v>
      </c>
      <c r="O1147" s="297">
        <f t="shared" ref="O1147:O1150" si="817">LEFT(L1147,SEARCH(" ",L1147,1)-1)*M1147/1000</f>
        <v>1.6639999999999999</v>
      </c>
      <c r="P1147" s="271" t="s">
        <v>139</v>
      </c>
      <c r="Q1147" s="324">
        <f>VLOOKUP(H1147,BM!$B$3:$Y$62,12,FALSE)</f>
        <v>2.5</v>
      </c>
      <c r="R1147" s="271" t="s">
        <v>112</v>
      </c>
      <c r="S1147" s="290">
        <f t="shared" si="812"/>
        <v>4.16</v>
      </c>
      <c r="T1147" s="275">
        <v>1</v>
      </c>
      <c r="U1147" s="290">
        <f t="shared" si="780"/>
        <v>5.16</v>
      </c>
      <c r="V1147" s="276" t="s">
        <v>48</v>
      </c>
    </row>
    <row r="1148" spans="1:22" s="172" customFormat="1" ht="20.25" customHeight="1">
      <c r="A1148" s="263" t="str">
        <f t="shared" si="774"/>
        <v/>
      </c>
      <c r="B1148" s="263"/>
      <c r="C1148" s="264">
        <f t="shared" si="762"/>
        <v>1137</v>
      </c>
      <c r="D1148" s="277" t="s">
        <v>1688</v>
      </c>
      <c r="E1148" s="293">
        <f t="shared" si="813"/>
        <v>1136</v>
      </c>
      <c r="F1148" s="267" t="s">
        <v>121</v>
      </c>
      <c r="G1148" s="267"/>
      <c r="H1148" s="316">
        <v>18</v>
      </c>
      <c r="I1148" s="316"/>
      <c r="J1148" s="308">
        <f t="shared" ref="J1148" si="818">J1147</f>
        <v>1664</v>
      </c>
      <c r="K1148" s="308" t="str">
        <f t="shared" si="815"/>
        <v>mm id</v>
      </c>
      <c r="L1148" s="367" t="str">
        <f t="shared" ref="L1148" si="819">J1148&amp;" "&amp;K1148</f>
        <v>1664 mm id</v>
      </c>
      <c r="M1148" s="319">
        <v>1</v>
      </c>
      <c r="N1148" s="271" t="s">
        <v>81</v>
      </c>
      <c r="O1148" s="297">
        <f t="shared" si="817"/>
        <v>1.6639999999999999</v>
      </c>
      <c r="P1148" s="271" t="s">
        <v>139</v>
      </c>
      <c r="Q1148" s="324">
        <f>VLOOKUP(H1148,BM!$B$3:$Y$62,18,FALSE)</f>
        <v>1</v>
      </c>
      <c r="R1148" s="271" t="s">
        <v>112</v>
      </c>
      <c r="S1148" s="290">
        <f t="shared" si="812"/>
        <v>1.6639999999999999</v>
      </c>
      <c r="T1148" s="275">
        <v>1</v>
      </c>
      <c r="U1148" s="290">
        <f t="shared" si="780"/>
        <v>2.66</v>
      </c>
      <c r="V1148" s="276" t="s">
        <v>48</v>
      </c>
    </row>
    <row r="1149" spans="1:22" s="172" customFormat="1" ht="20.25" customHeight="1">
      <c r="A1149" s="263" t="str">
        <f t="shared" si="774"/>
        <v/>
      </c>
      <c r="B1149" s="263"/>
      <c r="C1149" s="264">
        <f t="shared" si="762"/>
        <v>1138</v>
      </c>
      <c r="D1149" s="277" t="s">
        <v>1689</v>
      </c>
      <c r="E1149" s="293">
        <f t="shared" si="813"/>
        <v>1137</v>
      </c>
      <c r="F1149" s="267" t="s">
        <v>115</v>
      </c>
      <c r="G1149" s="267"/>
      <c r="H1149" s="316">
        <v>6</v>
      </c>
      <c r="I1149" s="316"/>
      <c r="J1149" s="308">
        <f t="shared" ref="J1149" si="820">J1148</f>
        <v>1664</v>
      </c>
      <c r="K1149" s="308" t="str">
        <f t="shared" si="815"/>
        <v>mm id</v>
      </c>
      <c r="L1149" s="367" t="str">
        <f t="shared" ref="L1149" si="821">J1149&amp;" "&amp;K1149</f>
        <v>1664 mm id</v>
      </c>
      <c r="M1149" s="319">
        <v>1</v>
      </c>
      <c r="N1149" s="271" t="s">
        <v>81</v>
      </c>
      <c r="O1149" s="297">
        <f t="shared" si="817"/>
        <v>1.6639999999999999</v>
      </c>
      <c r="P1149" s="271" t="s">
        <v>139</v>
      </c>
      <c r="Q1149" s="324">
        <f>VLOOKUP(H1149,BM!$B$3:$Y$62,12,FALSE)</f>
        <v>0.9</v>
      </c>
      <c r="R1149" s="271" t="s">
        <v>112</v>
      </c>
      <c r="S1149" s="290">
        <f t="shared" si="812"/>
        <v>1.4976</v>
      </c>
      <c r="T1149" s="275">
        <v>1</v>
      </c>
      <c r="U1149" s="290">
        <f t="shared" si="780"/>
        <v>2.5</v>
      </c>
      <c r="V1149" s="276" t="s">
        <v>48</v>
      </c>
    </row>
    <row r="1150" spans="1:22" s="172" customFormat="1" ht="20.25" customHeight="1">
      <c r="A1150" s="263" t="str">
        <f t="shared" si="774"/>
        <v/>
      </c>
      <c r="B1150" s="263"/>
      <c r="C1150" s="264">
        <f t="shared" si="762"/>
        <v>1139</v>
      </c>
      <c r="D1150" s="277" t="s">
        <v>1690</v>
      </c>
      <c r="E1150" s="293">
        <f t="shared" si="813"/>
        <v>1138</v>
      </c>
      <c r="F1150" s="267" t="s">
        <v>61</v>
      </c>
      <c r="G1150" s="267"/>
      <c r="H1150" s="316">
        <v>6</v>
      </c>
      <c r="I1150" s="316"/>
      <c r="J1150" s="308">
        <f t="shared" ref="J1150" si="822">J1149</f>
        <v>1664</v>
      </c>
      <c r="K1150" s="308" t="str">
        <f t="shared" si="815"/>
        <v>mm id</v>
      </c>
      <c r="L1150" s="367" t="str">
        <f t="shared" ref="L1150" si="823">J1150&amp;" "&amp;K1150</f>
        <v>1664 mm id</v>
      </c>
      <c r="M1150" s="319">
        <v>1</v>
      </c>
      <c r="N1150" s="271" t="s">
        <v>81</v>
      </c>
      <c r="O1150" s="297">
        <f t="shared" si="817"/>
        <v>1.6639999999999999</v>
      </c>
      <c r="P1150" s="271" t="s">
        <v>139</v>
      </c>
      <c r="Q1150" s="324">
        <f>VLOOKUP(H1150,BM!$B$3:$Y$62,20,FALSE)</f>
        <v>0.5</v>
      </c>
      <c r="R1150" s="271" t="s">
        <v>112</v>
      </c>
      <c r="S1150" s="290">
        <f t="shared" si="812"/>
        <v>0.83199999999999996</v>
      </c>
      <c r="T1150" s="275">
        <v>1</v>
      </c>
      <c r="U1150" s="290">
        <f t="shared" si="780"/>
        <v>1.83</v>
      </c>
      <c r="V1150" s="276" t="s">
        <v>48</v>
      </c>
    </row>
    <row r="1151" spans="1:22" s="172" customFormat="1" ht="20.25" customHeight="1">
      <c r="A1151" s="263" t="str">
        <f t="shared" si="774"/>
        <v/>
      </c>
      <c r="B1151" s="263"/>
      <c r="C1151" s="264">
        <f t="shared" si="762"/>
        <v>1140</v>
      </c>
      <c r="D1151" s="277" t="s">
        <v>1691</v>
      </c>
      <c r="E1151" s="293">
        <f t="shared" si="813"/>
        <v>1139</v>
      </c>
      <c r="F1151" s="267" t="s">
        <v>286</v>
      </c>
      <c r="G1151" s="267"/>
      <c r="H1151" s="316">
        <v>18</v>
      </c>
      <c r="I1151" s="316"/>
      <c r="J1151" s="308">
        <f t="shared" ref="J1151" si="824">J1150</f>
        <v>1664</v>
      </c>
      <c r="K1151" s="308" t="str">
        <f t="shared" si="815"/>
        <v>mm id</v>
      </c>
      <c r="L1151" s="367" t="str">
        <f t="shared" ref="L1151" si="825">J1151&amp;" "&amp;K1151</f>
        <v>1664 mm id</v>
      </c>
      <c r="M1151" s="319">
        <v>1</v>
      </c>
      <c r="N1151" s="271" t="s">
        <v>81</v>
      </c>
      <c r="O1151" s="272">
        <v>1</v>
      </c>
      <c r="P1151" s="271" t="s">
        <v>139</v>
      </c>
      <c r="Q1151" s="273">
        <v>3</v>
      </c>
      <c r="R1151" s="271" t="s">
        <v>112</v>
      </c>
      <c r="S1151" s="290">
        <f t="shared" si="812"/>
        <v>3</v>
      </c>
      <c r="T1151" s="275">
        <v>1</v>
      </c>
      <c r="U1151" s="290">
        <f t="shared" si="780"/>
        <v>4</v>
      </c>
      <c r="V1151" s="276" t="s">
        <v>48</v>
      </c>
    </row>
    <row r="1152" spans="1:22" s="172" customFormat="1" ht="20.25" customHeight="1">
      <c r="A1152" s="263">
        <f t="shared" si="774"/>
        <v>1141</v>
      </c>
      <c r="B1152" s="263" t="s">
        <v>1263</v>
      </c>
      <c r="C1152" s="264">
        <f t="shared" si="762"/>
        <v>1141</v>
      </c>
      <c r="D1152" s="265" t="s">
        <v>1692</v>
      </c>
      <c r="E1152" s="279">
        <f>A1145</f>
        <v>1134</v>
      </c>
      <c r="F1152" s="267"/>
      <c r="G1152" s="267"/>
      <c r="H1152" s="268"/>
      <c r="I1152" s="268"/>
      <c r="J1152" s="269"/>
      <c r="K1152" s="269"/>
      <c r="L1152" s="269"/>
      <c r="M1152" s="319"/>
      <c r="N1152" s="271"/>
      <c r="O1152" s="280"/>
      <c r="P1152" s="271"/>
      <c r="Q1152" s="281"/>
      <c r="R1152" s="271"/>
      <c r="S1152" s="312"/>
      <c r="T1152" s="282"/>
      <c r="U1152" s="312"/>
      <c r="V1152" s="276"/>
    </row>
    <row r="1153" spans="1:22" s="172" customFormat="1" ht="20.25" customHeight="1">
      <c r="A1153" s="263" t="str">
        <f t="shared" si="774"/>
        <v/>
      </c>
      <c r="B1153" s="263"/>
      <c r="C1153" s="264">
        <f t="shared" si="762"/>
        <v>1142</v>
      </c>
      <c r="D1153" s="277" t="s">
        <v>1693</v>
      </c>
      <c r="E1153" s="293"/>
      <c r="F1153" s="267" t="s">
        <v>312</v>
      </c>
      <c r="G1153" s="267"/>
      <c r="H1153" s="308">
        <f>H1151</f>
        <v>18</v>
      </c>
      <c r="I1153" s="308"/>
      <c r="J1153" s="308">
        <f t="shared" ref="J1153:K1153" si="826">J1151</f>
        <v>1664</v>
      </c>
      <c r="K1153" s="308" t="str">
        <f t="shared" si="826"/>
        <v>mm id</v>
      </c>
      <c r="L1153" s="367" t="str">
        <f t="shared" ref="L1153" si="827">J1153&amp;" "&amp;K1153</f>
        <v>1664 mm id</v>
      </c>
      <c r="M1153" s="326">
        <f t="shared" ref="L1153:O1153" si="828">M1151</f>
        <v>1</v>
      </c>
      <c r="N1153" s="331" t="str">
        <f t="shared" si="828"/>
        <v>Nos</v>
      </c>
      <c r="O1153" s="308">
        <f t="shared" si="828"/>
        <v>1</v>
      </c>
      <c r="P1153" s="296" t="s">
        <v>81</v>
      </c>
      <c r="Q1153" s="273">
        <v>1</v>
      </c>
      <c r="R1153" s="271" t="s">
        <v>41</v>
      </c>
      <c r="S1153" s="290">
        <f t="shared" ref="S1153" si="829">O1153*Q1153</f>
        <v>1</v>
      </c>
      <c r="T1153" s="293"/>
      <c r="U1153" s="290">
        <f t="shared" si="780"/>
        <v>1</v>
      </c>
      <c r="V1153" s="276" t="s">
        <v>42</v>
      </c>
    </row>
    <row r="1154" spans="1:22" s="172" customFormat="1" ht="20.25" customHeight="1">
      <c r="A1154" s="263">
        <f t="shared" si="774"/>
        <v>1143</v>
      </c>
      <c r="B1154" s="263" t="s">
        <v>1263</v>
      </c>
      <c r="C1154" s="264">
        <f t="shared" si="762"/>
        <v>1143</v>
      </c>
      <c r="D1154" s="265" t="s">
        <v>1694</v>
      </c>
      <c r="E1154" s="279">
        <f>A1152</f>
        <v>1141</v>
      </c>
      <c r="F1154" s="267"/>
      <c r="G1154" s="267"/>
      <c r="H1154" s="268"/>
      <c r="I1154" s="268"/>
      <c r="J1154" s="269"/>
      <c r="K1154" s="269"/>
      <c r="L1154" s="269"/>
      <c r="M1154" s="319"/>
      <c r="N1154" s="271"/>
      <c r="O1154" s="280"/>
      <c r="P1154" s="271"/>
      <c r="Q1154" s="281"/>
      <c r="R1154" s="271"/>
      <c r="S1154" s="312"/>
      <c r="T1154" s="282"/>
      <c r="U1154" s="312"/>
      <c r="V1154" s="276"/>
    </row>
    <row r="1155" spans="1:22" s="172" customFormat="1" ht="20.25" customHeight="1">
      <c r="A1155" s="263" t="str">
        <f t="shared" si="774"/>
        <v/>
      </c>
      <c r="B1155" s="263"/>
      <c r="C1155" s="264">
        <f t="shared" si="762"/>
        <v>1144</v>
      </c>
      <c r="D1155" s="277" t="s">
        <v>1695</v>
      </c>
      <c r="E1155" s="293"/>
      <c r="F1155" s="267" t="s">
        <v>348</v>
      </c>
      <c r="G1155" s="267"/>
      <c r="H1155" s="316">
        <v>18</v>
      </c>
      <c r="I1155" s="316"/>
      <c r="J1155" s="308">
        <f>J1153</f>
        <v>1664</v>
      </c>
      <c r="K1155" s="308" t="str">
        <f>K1153</f>
        <v>mm id</v>
      </c>
      <c r="L1155" s="367" t="str">
        <f t="shared" ref="L1155" si="830">J1155&amp;" "&amp;K1155</f>
        <v>1664 mm id</v>
      </c>
      <c r="M1155" s="319">
        <v>1</v>
      </c>
      <c r="N1155" s="271" t="s">
        <v>81</v>
      </c>
      <c r="O1155" s="297">
        <f>LEFT(L1155,SEARCH(" ",L1155,1)-1)*M1155*3.142/1000</f>
        <v>5.2282879999999992</v>
      </c>
      <c r="P1155" s="271" t="s">
        <v>139</v>
      </c>
      <c r="Q1155" s="324">
        <f>VLOOKUP(H1155,BM!$B$3:$Y$62,15,FALSE)</f>
        <v>1</v>
      </c>
      <c r="R1155" s="271" t="s">
        <v>112</v>
      </c>
      <c r="S1155" s="290">
        <f t="shared" ref="S1155:S1157" si="831">O1155*Q1155</f>
        <v>5.2282879999999992</v>
      </c>
      <c r="T1155" s="275">
        <v>1</v>
      </c>
      <c r="U1155" s="290">
        <f t="shared" si="780"/>
        <v>6.23</v>
      </c>
      <c r="V1155" s="276" t="s">
        <v>48</v>
      </c>
    </row>
    <row r="1156" spans="1:22" s="172" customFormat="1" ht="20.25" customHeight="1">
      <c r="A1156" s="263" t="str">
        <f t="shared" si="774"/>
        <v/>
      </c>
      <c r="B1156" s="263"/>
      <c r="C1156" s="264">
        <f t="shared" si="762"/>
        <v>1145</v>
      </c>
      <c r="D1156" s="277" t="s">
        <v>1696</v>
      </c>
      <c r="E1156" s="293">
        <f t="shared" ref="E1156:E1157" si="832">C1155</f>
        <v>1144</v>
      </c>
      <c r="F1156" s="267" t="s">
        <v>111</v>
      </c>
      <c r="G1156" s="267"/>
      <c r="H1156" s="316">
        <v>18</v>
      </c>
      <c r="I1156" s="316"/>
      <c r="J1156" s="308">
        <f>J1155</f>
        <v>1664</v>
      </c>
      <c r="K1156" s="308" t="str">
        <f>K1155</f>
        <v>mm id</v>
      </c>
      <c r="L1156" s="367" t="str">
        <f t="shared" ref="L1156" si="833">J1156&amp;" "&amp;K1156</f>
        <v>1664 mm id</v>
      </c>
      <c r="M1156" s="319">
        <v>1</v>
      </c>
      <c r="N1156" s="271" t="s">
        <v>81</v>
      </c>
      <c r="O1156" s="297">
        <f>LEFT(L1156,SEARCH(" ",L1156,1)-1)*M1156*3.142/1000</f>
        <v>5.2282879999999992</v>
      </c>
      <c r="P1156" s="296" t="s">
        <v>81</v>
      </c>
      <c r="Q1156" s="324">
        <f>VLOOKUP(H1156,BM!$B$3:$Y$62,16,FALSE)</f>
        <v>1</v>
      </c>
      <c r="R1156" s="271" t="s">
        <v>112</v>
      </c>
      <c r="S1156" s="290">
        <f t="shared" si="831"/>
        <v>5.2282879999999992</v>
      </c>
      <c r="T1156" s="275">
        <v>1</v>
      </c>
      <c r="U1156" s="290">
        <f t="shared" si="780"/>
        <v>6.23</v>
      </c>
      <c r="V1156" s="276" t="s">
        <v>48</v>
      </c>
    </row>
    <row r="1157" spans="1:22" s="172" customFormat="1" ht="20.25" customHeight="1">
      <c r="A1157" s="263" t="str">
        <f t="shared" si="774"/>
        <v/>
      </c>
      <c r="B1157" s="263"/>
      <c r="C1157" s="264">
        <f t="shared" ref="C1157:C1220" si="834">C1156+1</f>
        <v>1146</v>
      </c>
      <c r="D1157" s="277" t="s">
        <v>1697</v>
      </c>
      <c r="E1157" s="293">
        <f t="shared" si="832"/>
        <v>1145</v>
      </c>
      <c r="F1157" s="267" t="s">
        <v>44</v>
      </c>
      <c r="G1157" s="267"/>
      <c r="H1157" s="316">
        <v>18</v>
      </c>
      <c r="I1157" s="316"/>
      <c r="J1157" s="308">
        <f>J1156</f>
        <v>1664</v>
      </c>
      <c r="K1157" s="308" t="str">
        <f>K1156</f>
        <v>mm id</v>
      </c>
      <c r="L1157" s="367" t="str">
        <f t="shared" ref="L1157" si="835">J1157&amp;" "&amp;K1157</f>
        <v>1664 mm id</v>
      </c>
      <c r="M1157" s="319">
        <v>1</v>
      </c>
      <c r="N1157" s="271" t="s">
        <v>81</v>
      </c>
      <c r="O1157" s="297">
        <f t="shared" ref="O1157" si="836">LEFT(L1157,SEARCH(" ",L1157,1)-1)*M1157*3.142/1000</f>
        <v>5.2282879999999992</v>
      </c>
      <c r="P1157" s="296" t="s">
        <v>81</v>
      </c>
      <c r="Q1157" s="273">
        <v>0.25</v>
      </c>
      <c r="R1157" s="271" t="s">
        <v>112</v>
      </c>
      <c r="S1157" s="290">
        <f t="shared" si="831"/>
        <v>1.3070719999999998</v>
      </c>
      <c r="T1157" s="275">
        <v>1</v>
      </c>
      <c r="U1157" s="290">
        <f t="shared" si="780"/>
        <v>2.31</v>
      </c>
      <c r="V1157" s="276" t="s">
        <v>48</v>
      </c>
    </row>
    <row r="1158" spans="1:22" s="172" customFormat="1" ht="20.25" customHeight="1">
      <c r="A1158" s="263">
        <f t="shared" si="774"/>
        <v>1147</v>
      </c>
      <c r="B1158" s="263" t="s">
        <v>1263</v>
      </c>
      <c r="C1158" s="264">
        <f t="shared" si="834"/>
        <v>1147</v>
      </c>
      <c r="D1158" s="265" t="s">
        <v>1698</v>
      </c>
      <c r="E1158" s="279">
        <f>A1154</f>
        <v>1143</v>
      </c>
      <c r="F1158" s="267"/>
      <c r="G1158" s="267"/>
      <c r="H1158" s="268"/>
      <c r="I1158" s="268"/>
      <c r="J1158" s="269"/>
      <c r="K1158" s="269"/>
      <c r="L1158" s="269"/>
      <c r="M1158" s="319"/>
      <c r="N1158" s="271"/>
      <c r="O1158" s="280"/>
      <c r="P1158" s="271"/>
      <c r="Q1158" s="281"/>
      <c r="R1158" s="271"/>
      <c r="S1158" s="312"/>
      <c r="T1158" s="282"/>
      <c r="U1158" s="312"/>
      <c r="V1158" s="276"/>
    </row>
    <row r="1159" spans="1:22" s="172" customFormat="1" ht="20.25" customHeight="1">
      <c r="A1159" s="263" t="str">
        <f t="shared" si="774"/>
        <v/>
      </c>
      <c r="B1159" s="263"/>
      <c r="C1159" s="264">
        <f t="shared" si="834"/>
        <v>1148</v>
      </c>
      <c r="D1159" s="277" t="s">
        <v>1699</v>
      </c>
      <c r="E1159" s="293"/>
      <c r="F1159" s="267" t="s">
        <v>201</v>
      </c>
      <c r="G1159" s="267"/>
      <c r="H1159" s="316">
        <v>12</v>
      </c>
      <c r="I1159" s="316"/>
      <c r="J1159" s="308">
        <f>J1157</f>
        <v>1664</v>
      </c>
      <c r="K1159" s="308" t="str">
        <f>K1157</f>
        <v>mm id</v>
      </c>
      <c r="L1159" s="367" t="str">
        <f t="shared" ref="L1159" si="837">J1159&amp;" "&amp;K1159</f>
        <v>1664 mm id</v>
      </c>
      <c r="M1159" s="319">
        <v>1</v>
      </c>
      <c r="N1159" s="271" t="s">
        <v>81</v>
      </c>
      <c r="O1159" s="272">
        <v>1</v>
      </c>
      <c r="P1159" s="271" t="s">
        <v>249</v>
      </c>
      <c r="Q1159" s="273">
        <v>1</v>
      </c>
      <c r="R1159" s="271" t="s">
        <v>112</v>
      </c>
      <c r="S1159" s="290">
        <f t="shared" ref="S1159:S1168" si="838">O1159*Q1159</f>
        <v>1</v>
      </c>
      <c r="T1159" s="275">
        <v>1</v>
      </c>
      <c r="U1159" s="290">
        <f t="shared" si="780"/>
        <v>2</v>
      </c>
      <c r="V1159" s="276" t="s">
        <v>48</v>
      </c>
    </row>
    <row r="1160" spans="1:22" s="172" customFormat="1" ht="20.25" customHeight="1">
      <c r="A1160" s="263" t="str">
        <f t="shared" si="774"/>
        <v/>
      </c>
      <c r="B1160" s="263"/>
      <c r="C1160" s="264">
        <f t="shared" si="834"/>
        <v>1149</v>
      </c>
      <c r="D1160" s="277" t="s">
        <v>1700</v>
      </c>
      <c r="E1160" s="293">
        <f t="shared" ref="E1160:E1163" si="839">C1159</f>
        <v>1148</v>
      </c>
      <c r="F1160" s="267" t="s">
        <v>115</v>
      </c>
      <c r="G1160" s="267"/>
      <c r="H1160" s="316">
        <v>12</v>
      </c>
      <c r="I1160" s="316"/>
      <c r="J1160" s="308">
        <f>J1159</f>
        <v>1664</v>
      </c>
      <c r="K1160" s="308" t="str">
        <f>K1159</f>
        <v>mm id</v>
      </c>
      <c r="L1160" s="367" t="str">
        <f t="shared" ref="L1160" si="840">J1160&amp;" "&amp;K1160</f>
        <v>1664 mm id</v>
      </c>
      <c r="M1160" s="319">
        <v>1</v>
      </c>
      <c r="N1160" s="271" t="s">
        <v>81</v>
      </c>
      <c r="O1160" s="297">
        <f t="shared" ref="O1160:O1163" si="841">LEFT(L1160,SEARCH(" ",L1160,1)-1)*M1160*3.142/1000</f>
        <v>5.2282879999999992</v>
      </c>
      <c r="P1160" s="271" t="s">
        <v>249</v>
      </c>
      <c r="Q1160" s="324">
        <f>VLOOKUP(H1160,BM!$B$3:$Y$62,17,FALSE)</f>
        <v>2.5</v>
      </c>
      <c r="R1160" s="271" t="s">
        <v>112</v>
      </c>
      <c r="S1160" s="290">
        <f t="shared" si="838"/>
        <v>13.070719999999998</v>
      </c>
      <c r="T1160" s="275">
        <v>1</v>
      </c>
      <c r="U1160" s="290">
        <f t="shared" si="780"/>
        <v>14.07</v>
      </c>
      <c r="V1160" s="276" t="s">
        <v>48</v>
      </c>
    </row>
    <row r="1161" spans="1:22" s="172" customFormat="1" ht="20.25" customHeight="1">
      <c r="A1161" s="263" t="str">
        <f t="shared" si="774"/>
        <v/>
      </c>
      <c r="B1161" s="263"/>
      <c r="C1161" s="264">
        <f t="shared" si="834"/>
        <v>1150</v>
      </c>
      <c r="D1161" s="277" t="s">
        <v>1701</v>
      </c>
      <c r="E1161" s="293">
        <f t="shared" si="839"/>
        <v>1149</v>
      </c>
      <c r="F1161" s="267" t="s">
        <v>61</v>
      </c>
      <c r="G1161" s="267"/>
      <c r="H1161" s="316">
        <v>18</v>
      </c>
      <c r="I1161" s="316"/>
      <c r="J1161" s="308">
        <f t="shared" ref="J1161" si="842">J1159</f>
        <v>1664</v>
      </c>
      <c r="K1161" s="308" t="str">
        <f t="shared" ref="K1161:L1163" si="843">K1159</f>
        <v>mm id</v>
      </c>
      <c r="L1161" s="367" t="str">
        <f t="shared" ref="L1161" si="844">J1161&amp;" "&amp;K1161</f>
        <v>1664 mm id</v>
      </c>
      <c r="M1161" s="319">
        <v>1</v>
      </c>
      <c r="N1161" s="271" t="s">
        <v>81</v>
      </c>
      <c r="O1161" s="297">
        <f t="shared" si="841"/>
        <v>5.2282879999999992</v>
      </c>
      <c r="P1161" s="271" t="s">
        <v>249</v>
      </c>
      <c r="Q1161" s="324">
        <f>VLOOKUP(H1161,BM!$B$3:$Y$62,18,FALSE)</f>
        <v>1</v>
      </c>
      <c r="R1161" s="271" t="s">
        <v>112</v>
      </c>
      <c r="S1161" s="290">
        <f t="shared" si="838"/>
        <v>5.2282879999999992</v>
      </c>
      <c r="T1161" s="275">
        <v>1</v>
      </c>
      <c r="U1161" s="290">
        <f t="shared" si="780"/>
        <v>6.23</v>
      </c>
      <c r="V1161" s="276" t="s">
        <v>48</v>
      </c>
    </row>
    <row r="1162" spans="1:22" s="172" customFormat="1" ht="20.25" customHeight="1">
      <c r="A1162" s="263" t="str">
        <f t="shared" si="774"/>
        <v/>
      </c>
      <c r="B1162" s="263"/>
      <c r="C1162" s="264">
        <f t="shared" si="834"/>
        <v>1151</v>
      </c>
      <c r="D1162" s="277" t="s">
        <v>1702</v>
      </c>
      <c r="E1162" s="293">
        <f t="shared" si="839"/>
        <v>1150</v>
      </c>
      <c r="F1162" s="267" t="s">
        <v>115</v>
      </c>
      <c r="G1162" s="267"/>
      <c r="H1162" s="316">
        <v>6</v>
      </c>
      <c r="I1162" s="316"/>
      <c r="J1162" s="308">
        <f t="shared" ref="J1162" si="845">J1160</f>
        <v>1664</v>
      </c>
      <c r="K1162" s="308" t="str">
        <f t="shared" si="843"/>
        <v>mm id</v>
      </c>
      <c r="L1162" s="367" t="str">
        <f t="shared" ref="L1162" si="846">J1162&amp;" "&amp;K1162</f>
        <v>1664 mm id</v>
      </c>
      <c r="M1162" s="319">
        <v>1</v>
      </c>
      <c r="N1162" s="271" t="s">
        <v>81</v>
      </c>
      <c r="O1162" s="297">
        <f t="shared" si="841"/>
        <v>5.2282879999999992</v>
      </c>
      <c r="P1162" s="271" t="s">
        <v>249</v>
      </c>
      <c r="Q1162" s="324">
        <f>VLOOKUP(H1162,BM!$B$3:$Y$62,17,FALSE)</f>
        <v>0.9</v>
      </c>
      <c r="R1162" s="271" t="s">
        <v>112</v>
      </c>
      <c r="S1162" s="290">
        <f t="shared" si="838"/>
        <v>4.7054591999999991</v>
      </c>
      <c r="T1162" s="275">
        <v>1</v>
      </c>
      <c r="U1162" s="290">
        <f t="shared" si="780"/>
        <v>5.71</v>
      </c>
      <c r="V1162" s="276" t="s">
        <v>48</v>
      </c>
    </row>
    <row r="1163" spans="1:22" s="172" customFormat="1" ht="20.25" customHeight="1">
      <c r="A1163" s="263" t="str">
        <f t="shared" si="774"/>
        <v/>
      </c>
      <c r="B1163" s="263"/>
      <c r="C1163" s="264">
        <f t="shared" si="834"/>
        <v>1152</v>
      </c>
      <c r="D1163" s="277" t="s">
        <v>1703</v>
      </c>
      <c r="E1163" s="293">
        <f t="shared" si="839"/>
        <v>1151</v>
      </c>
      <c r="F1163" s="267" t="s">
        <v>61</v>
      </c>
      <c r="G1163" s="267"/>
      <c r="H1163" s="316">
        <v>18</v>
      </c>
      <c r="I1163" s="316"/>
      <c r="J1163" s="308">
        <f t="shared" ref="J1163" si="847">J1161</f>
        <v>1664</v>
      </c>
      <c r="K1163" s="308" t="str">
        <f t="shared" si="843"/>
        <v>mm id</v>
      </c>
      <c r="L1163" s="367" t="str">
        <f t="shared" ref="L1163" si="848">J1163&amp;" "&amp;K1163</f>
        <v>1664 mm id</v>
      </c>
      <c r="M1163" s="319">
        <v>1</v>
      </c>
      <c r="N1163" s="271" t="s">
        <v>81</v>
      </c>
      <c r="O1163" s="297">
        <f t="shared" si="841"/>
        <v>5.2282879999999992</v>
      </c>
      <c r="P1163" s="271" t="s">
        <v>249</v>
      </c>
      <c r="Q1163" s="324">
        <f>VLOOKUP(H1163,BM!$B$3:$Y$62,20,FALSE)</f>
        <v>0.5</v>
      </c>
      <c r="R1163" s="271" t="s">
        <v>112</v>
      </c>
      <c r="S1163" s="290">
        <f t="shared" si="838"/>
        <v>2.6141439999999996</v>
      </c>
      <c r="T1163" s="275">
        <v>1</v>
      </c>
      <c r="U1163" s="290">
        <f t="shared" si="780"/>
        <v>3.61</v>
      </c>
      <c r="V1163" s="276" t="s">
        <v>48</v>
      </c>
    </row>
    <row r="1164" spans="1:22" s="172" customFormat="1" ht="20.25" customHeight="1">
      <c r="A1164" s="263">
        <f t="shared" si="774"/>
        <v>1153</v>
      </c>
      <c r="B1164" s="263" t="s">
        <v>1263</v>
      </c>
      <c r="C1164" s="264">
        <f t="shared" si="834"/>
        <v>1153</v>
      </c>
      <c r="D1164" s="265" t="s">
        <v>1704</v>
      </c>
      <c r="E1164" s="279">
        <f>A1158</f>
        <v>1147</v>
      </c>
      <c r="F1164" s="267"/>
      <c r="G1164" s="267"/>
      <c r="H1164" s="268"/>
      <c r="I1164" s="268"/>
      <c r="J1164" s="269"/>
      <c r="K1164" s="269"/>
      <c r="L1164" s="269"/>
      <c r="M1164" s="319"/>
      <c r="N1164" s="271"/>
      <c r="O1164" s="272"/>
      <c r="P1164" s="271"/>
      <c r="Q1164" s="273"/>
      <c r="R1164" s="271"/>
      <c r="S1164" s="290">
        <f t="shared" si="838"/>
        <v>0</v>
      </c>
      <c r="T1164" s="275"/>
      <c r="U1164" s="307"/>
      <c r="V1164" s="276"/>
    </row>
    <row r="1165" spans="1:22" s="172" customFormat="1" ht="20.25" customHeight="1">
      <c r="A1165" s="263" t="str">
        <f t="shared" si="774"/>
        <v/>
      </c>
      <c r="B1165" s="263"/>
      <c r="C1165" s="264">
        <f t="shared" si="834"/>
        <v>1154</v>
      </c>
      <c r="D1165" s="277" t="s">
        <v>1705</v>
      </c>
      <c r="E1165" s="293"/>
      <c r="F1165" s="267" t="s">
        <v>52</v>
      </c>
      <c r="G1165" s="267"/>
      <c r="H1165" s="316">
        <v>18</v>
      </c>
      <c r="I1165" s="316"/>
      <c r="J1165" s="308">
        <f>J1163</f>
        <v>1664</v>
      </c>
      <c r="K1165" s="308" t="str">
        <f>K1163</f>
        <v>mm id</v>
      </c>
      <c r="L1165" s="367" t="str">
        <f t="shared" ref="L1165" si="849">J1165&amp;" "&amp;K1165</f>
        <v>1664 mm id</v>
      </c>
      <c r="M1165" s="319">
        <v>1</v>
      </c>
      <c r="N1165" s="271" t="s">
        <v>81</v>
      </c>
      <c r="O1165" s="297">
        <f t="shared" ref="O1165:O1168" si="850">LEFT(L1165,SEARCH(" ",L1165,1)-1)*M1165*3.142/1000</f>
        <v>5.2282879999999992</v>
      </c>
      <c r="P1165" s="271" t="s">
        <v>139</v>
      </c>
      <c r="Q1165" s="324">
        <f>VLOOKUP(H1165,BM!$B$3:$Y$62,10,FALSE)</f>
        <v>1</v>
      </c>
      <c r="R1165" s="271" t="s">
        <v>112</v>
      </c>
      <c r="S1165" s="290">
        <f t="shared" si="838"/>
        <v>5.2282879999999992</v>
      </c>
      <c r="T1165" s="275">
        <v>1</v>
      </c>
      <c r="U1165" s="290">
        <f t="shared" si="780"/>
        <v>6.23</v>
      </c>
      <c r="V1165" s="276" t="s">
        <v>48</v>
      </c>
    </row>
    <row r="1166" spans="1:22" s="172" customFormat="1" ht="20.25" customHeight="1">
      <c r="A1166" s="263" t="str">
        <f t="shared" si="774"/>
        <v/>
      </c>
      <c r="B1166" s="263"/>
      <c r="C1166" s="264">
        <f t="shared" si="834"/>
        <v>1155</v>
      </c>
      <c r="D1166" s="277" t="s">
        <v>1706</v>
      </c>
      <c r="E1166" s="293">
        <f t="shared" ref="E1166:E1168" si="851">C1165</f>
        <v>1154</v>
      </c>
      <c r="F1166" s="267" t="s">
        <v>44</v>
      </c>
      <c r="G1166" s="267"/>
      <c r="H1166" s="316">
        <v>18</v>
      </c>
      <c r="I1166" s="316"/>
      <c r="J1166" s="308">
        <f t="shared" ref="J1166" si="852">J1165</f>
        <v>1664</v>
      </c>
      <c r="K1166" s="308" t="str">
        <f t="shared" ref="K1166:L1168" si="853">K1165</f>
        <v>mm id</v>
      </c>
      <c r="L1166" s="367" t="str">
        <f t="shared" ref="L1166" si="854">J1166&amp;" "&amp;K1166</f>
        <v>1664 mm id</v>
      </c>
      <c r="M1166" s="319">
        <v>1</v>
      </c>
      <c r="N1166" s="271" t="s">
        <v>81</v>
      </c>
      <c r="O1166" s="297">
        <f t="shared" si="850"/>
        <v>5.2282879999999992</v>
      </c>
      <c r="P1166" s="271" t="s">
        <v>139</v>
      </c>
      <c r="Q1166" s="324">
        <f>VLOOKUP(H1166,BM!$B$3:$Y$62,16,FALSE)</f>
        <v>1</v>
      </c>
      <c r="R1166" s="271" t="s">
        <v>112</v>
      </c>
      <c r="S1166" s="290">
        <f t="shared" si="838"/>
        <v>5.2282879999999992</v>
      </c>
      <c r="T1166" s="275">
        <v>1</v>
      </c>
      <c r="U1166" s="290">
        <f t="shared" si="780"/>
        <v>6.23</v>
      </c>
      <c r="V1166" s="276" t="s">
        <v>48</v>
      </c>
    </row>
    <row r="1167" spans="1:22" s="172" customFormat="1" ht="20.25" customHeight="1">
      <c r="A1167" s="263" t="str">
        <f t="shared" si="774"/>
        <v/>
      </c>
      <c r="B1167" s="263"/>
      <c r="C1167" s="264">
        <f t="shared" si="834"/>
        <v>1156</v>
      </c>
      <c r="D1167" s="277" t="s">
        <v>1707</v>
      </c>
      <c r="E1167" s="293">
        <f t="shared" si="851"/>
        <v>1155</v>
      </c>
      <c r="F1167" s="267" t="s">
        <v>111</v>
      </c>
      <c r="G1167" s="267"/>
      <c r="H1167" s="316">
        <v>18</v>
      </c>
      <c r="I1167" s="316"/>
      <c r="J1167" s="308">
        <f t="shared" ref="J1167" si="855">J1166</f>
        <v>1664</v>
      </c>
      <c r="K1167" s="308" t="str">
        <f t="shared" si="853"/>
        <v>mm id</v>
      </c>
      <c r="L1167" s="367" t="str">
        <f t="shared" ref="L1167" si="856">J1167&amp;" "&amp;K1167</f>
        <v>1664 mm id</v>
      </c>
      <c r="M1167" s="319">
        <v>1</v>
      </c>
      <c r="N1167" s="271" t="s">
        <v>81</v>
      </c>
      <c r="O1167" s="297">
        <f t="shared" si="850"/>
        <v>5.2282879999999992</v>
      </c>
      <c r="P1167" s="271" t="s">
        <v>139</v>
      </c>
      <c r="Q1167" s="273">
        <v>4</v>
      </c>
      <c r="R1167" s="271" t="s">
        <v>112</v>
      </c>
      <c r="S1167" s="290">
        <f t="shared" si="838"/>
        <v>20.913151999999997</v>
      </c>
      <c r="T1167" s="275">
        <v>1</v>
      </c>
      <c r="U1167" s="290">
        <f t="shared" si="780"/>
        <v>21.91</v>
      </c>
      <c r="V1167" s="276" t="s">
        <v>48</v>
      </c>
    </row>
    <row r="1168" spans="1:22" s="172" customFormat="1" ht="20.25" customHeight="1">
      <c r="A1168" s="263" t="str">
        <f t="shared" si="774"/>
        <v/>
      </c>
      <c r="B1168" s="263"/>
      <c r="C1168" s="264">
        <f t="shared" si="834"/>
        <v>1157</v>
      </c>
      <c r="D1168" s="277" t="s">
        <v>1708</v>
      </c>
      <c r="E1168" s="293">
        <f t="shared" si="851"/>
        <v>1156</v>
      </c>
      <c r="F1168" s="267" t="s">
        <v>63</v>
      </c>
      <c r="G1168" s="267"/>
      <c r="H1168" s="316">
        <v>18</v>
      </c>
      <c r="I1168" s="316"/>
      <c r="J1168" s="308">
        <f t="shared" ref="J1168" si="857">J1167</f>
        <v>1664</v>
      </c>
      <c r="K1168" s="308" t="str">
        <f t="shared" si="853"/>
        <v>mm id</v>
      </c>
      <c r="L1168" s="367" t="str">
        <f t="shared" ref="L1168" si="858">J1168&amp;" "&amp;K1168</f>
        <v>1664 mm id</v>
      </c>
      <c r="M1168" s="319">
        <v>1</v>
      </c>
      <c r="N1168" s="271" t="s">
        <v>81</v>
      </c>
      <c r="O1168" s="297">
        <f t="shared" si="850"/>
        <v>5.2282879999999992</v>
      </c>
      <c r="P1168" s="296" t="s">
        <v>81</v>
      </c>
      <c r="Q1168" s="273">
        <v>3.5</v>
      </c>
      <c r="R1168" s="271" t="s">
        <v>112</v>
      </c>
      <c r="S1168" s="290">
        <f t="shared" si="838"/>
        <v>18.299007999999997</v>
      </c>
      <c r="T1168" s="275">
        <v>1</v>
      </c>
      <c r="U1168" s="290">
        <f t="shared" si="780"/>
        <v>19.3</v>
      </c>
      <c r="V1168" s="276" t="s">
        <v>48</v>
      </c>
    </row>
    <row r="1169" spans="1:22" s="172" customFormat="1" ht="20.25" customHeight="1">
      <c r="A1169" s="263">
        <f t="shared" si="774"/>
        <v>1158</v>
      </c>
      <c r="B1169" s="263" t="s">
        <v>1263</v>
      </c>
      <c r="C1169" s="264">
        <f t="shared" si="834"/>
        <v>1158</v>
      </c>
      <c r="D1169" s="265" t="s">
        <v>1709</v>
      </c>
      <c r="E1169" s="279">
        <f>A1164</f>
        <v>1153</v>
      </c>
      <c r="F1169" s="267"/>
      <c r="G1169" s="267"/>
      <c r="H1169" s="268"/>
      <c r="I1169" s="268"/>
      <c r="J1169" s="269"/>
      <c r="K1169" s="269"/>
      <c r="L1169" s="269"/>
      <c r="M1169" s="319"/>
      <c r="N1169" s="271"/>
      <c r="O1169" s="280"/>
      <c r="P1169" s="271"/>
      <c r="Q1169" s="281"/>
      <c r="R1169" s="271"/>
      <c r="S1169" s="312"/>
      <c r="T1169" s="282"/>
      <c r="U1169" s="312"/>
      <c r="V1169" s="276"/>
    </row>
    <row r="1170" spans="1:22" s="172" customFormat="1" ht="20.25" customHeight="1">
      <c r="A1170" s="263" t="str">
        <f t="shared" si="774"/>
        <v/>
      </c>
      <c r="B1170" s="263"/>
      <c r="C1170" s="264">
        <f t="shared" si="834"/>
        <v>1159</v>
      </c>
      <c r="D1170" s="277" t="s">
        <v>1710</v>
      </c>
      <c r="E1170" s="293"/>
      <c r="F1170" s="267" t="s">
        <v>201</v>
      </c>
      <c r="G1170" s="267"/>
      <c r="H1170" s="316">
        <v>12</v>
      </c>
      <c r="I1170" s="316"/>
      <c r="J1170" s="308">
        <f>J1168</f>
        <v>1664</v>
      </c>
      <c r="K1170" s="308" t="str">
        <f>K1168</f>
        <v>mm id</v>
      </c>
      <c r="L1170" s="367" t="str">
        <f t="shared" ref="L1170" si="859">J1170&amp;" "&amp;K1170</f>
        <v>1664 mm id</v>
      </c>
      <c r="M1170" s="319">
        <v>1</v>
      </c>
      <c r="N1170" s="271" t="s">
        <v>81</v>
      </c>
      <c r="O1170" s="272">
        <v>1</v>
      </c>
      <c r="P1170" s="271" t="s">
        <v>249</v>
      </c>
      <c r="Q1170" s="273">
        <v>1</v>
      </c>
      <c r="R1170" s="271" t="s">
        <v>112</v>
      </c>
      <c r="S1170" s="290">
        <f t="shared" ref="S1170:S1174" si="860">O1170*Q1170</f>
        <v>1</v>
      </c>
      <c r="T1170" s="275">
        <v>1</v>
      </c>
      <c r="U1170" s="290">
        <f t="shared" si="780"/>
        <v>2</v>
      </c>
      <c r="V1170" s="276" t="s">
        <v>48</v>
      </c>
    </row>
    <row r="1171" spans="1:22" s="172" customFormat="1" ht="20.25" customHeight="1">
      <c r="A1171" s="263" t="str">
        <f t="shared" si="774"/>
        <v/>
      </c>
      <c r="B1171" s="263"/>
      <c r="C1171" s="264">
        <f t="shared" si="834"/>
        <v>1160</v>
      </c>
      <c r="D1171" s="277" t="s">
        <v>1711</v>
      </c>
      <c r="E1171" s="293">
        <f t="shared" ref="E1171:E1174" si="861">C1170</f>
        <v>1159</v>
      </c>
      <c r="F1171" s="267" t="s">
        <v>115</v>
      </c>
      <c r="G1171" s="267"/>
      <c r="H1171" s="316">
        <v>12</v>
      </c>
      <c r="I1171" s="316"/>
      <c r="J1171" s="308">
        <f t="shared" ref="J1171" si="862">J1170</f>
        <v>1664</v>
      </c>
      <c r="K1171" s="308" t="str">
        <f t="shared" ref="K1171:L1174" si="863">K1170</f>
        <v>mm id</v>
      </c>
      <c r="L1171" s="367" t="str">
        <f t="shared" ref="L1171" si="864">J1171&amp;" "&amp;K1171</f>
        <v>1664 mm id</v>
      </c>
      <c r="M1171" s="319">
        <v>1</v>
      </c>
      <c r="N1171" s="271" t="s">
        <v>81</v>
      </c>
      <c r="O1171" s="297">
        <f t="shared" ref="O1171:O1174" si="865">LEFT(L1171,SEARCH(" ",L1171,1)-1)*M1171*3.142/1000</f>
        <v>5.2282879999999992</v>
      </c>
      <c r="P1171" s="271" t="s">
        <v>249</v>
      </c>
      <c r="Q1171" s="324">
        <f>VLOOKUP(H1171,BM!$B$3:$Y$62,17,FALSE)</f>
        <v>2.5</v>
      </c>
      <c r="R1171" s="271" t="s">
        <v>112</v>
      </c>
      <c r="S1171" s="290">
        <f t="shared" si="860"/>
        <v>13.070719999999998</v>
      </c>
      <c r="T1171" s="275">
        <v>1</v>
      </c>
      <c r="U1171" s="290">
        <f t="shared" si="780"/>
        <v>14.07</v>
      </c>
      <c r="V1171" s="276" t="s">
        <v>48</v>
      </c>
    </row>
    <row r="1172" spans="1:22" s="172" customFormat="1" ht="20.25" customHeight="1">
      <c r="A1172" s="263" t="str">
        <f t="shared" si="774"/>
        <v/>
      </c>
      <c r="B1172" s="263"/>
      <c r="C1172" s="264">
        <f t="shared" si="834"/>
        <v>1161</v>
      </c>
      <c r="D1172" s="277" t="s">
        <v>1712</v>
      </c>
      <c r="E1172" s="293">
        <f t="shared" si="861"/>
        <v>1160</v>
      </c>
      <c r="F1172" s="267" t="s">
        <v>61</v>
      </c>
      <c r="G1172" s="267"/>
      <c r="H1172" s="316">
        <v>18</v>
      </c>
      <c r="I1172" s="316"/>
      <c r="J1172" s="308">
        <f t="shared" ref="J1172" si="866">J1171</f>
        <v>1664</v>
      </c>
      <c r="K1172" s="308" t="str">
        <f t="shared" si="863"/>
        <v>mm id</v>
      </c>
      <c r="L1172" s="367" t="str">
        <f t="shared" ref="L1172" si="867">J1172&amp;" "&amp;K1172</f>
        <v>1664 mm id</v>
      </c>
      <c r="M1172" s="319">
        <v>1</v>
      </c>
      <c r="N1172" s="271" t="s">
        <v>81</v>
      </c>
      <c r="O1172" s="297">
        <f t="shared" si="865"/>
        <v>5.2282879999999992</v>
      </c>
      <c r="P1172" s="271" t="s">
        <v>249</v>
      </c>
      <c r="Q1172" s="324">
        <f>VLOOKUP(H1172,BM!$B$3:$Y$62,18,FALSE)</f>
        <v>1</v>
      </c>
      <c r="R1172" s="271" t="s">
        <v>112</v>
      </c>
      <c r="S1172" s="290">
        <f t="shared" si="860"/>
        <v>5.2282879999999992</v>
      </c>
      <c r="T1172" s="275">
        <v>1</v>
      </c>
      <c r="U1172" s="290">
        <f t="shared" si="780"/>
        <v>6.23</v>
      </c>
      <c r="V1172" s="276" t="s">
        <v>48</v>
      </c>
    </row>
    <row r="1173" spans="1:22" s="172" customFormat="1" ht="20.25" customHeight="1">
      <c r="A1173" s="263" t="str">
        <f t="shared" si="774"/>
        <v/>
      </c>
      <c r="B1173" s="263"/>
      <c r="C1173" s="264">
        <f t="shared" si="834"/>
        <v>1162</v>
      </c>
      <c r="D1173" s="277" t="s">
        <v>1713</v>
      </c>
      <c r="E1173" s="293">
        <f t="shared" si="861"/>
        <v>1161</v>
      </c>
      <c r="F1173" s="267" t="s">
        <v>115</v>
      </c>
      <c r="G1173" s="267"/>
      <c r="H1173" s="316">
        <v>6</v>
      </c>
      <c r="I1173" s="316"/>
      <c r="J1173" s="308">
        <f t="shared" ref="J1173" si="868">J1172</f>
        <v>1664</v>
      </c>
      <c r="K1173" s="308" t="str">
        <f t="shared" si="863"/>
        <v>mm id</v>
      </c>
      <c r="L1173" s="367" t="str">
        <f t="shared" ref="L1173" si="869">J1173&amp;" "&amp;K1173</f>
        <v>1664 mm id</v>
      </c>
      <c r="M1173" s="319">
        <v>1</v>
      </c>
      <c r="N1173" s="271" t="s">
        <v>81</v>
      </c>
      <c r="O1173" s="297">
        <f t="shared" si="865"/>
        <v>5.2282879999999992</v>
      </c>
      <c r="P1173" s="271" t="s">
        <v>249</v>
      </c>
      <c r="Q1173" s="324">
        <f>VLOOKUP(H1173,BM!$B$3:$Y$62,17,FALSE)</f>
        <v>0.9</v>
      </c>
      <c r="R1173" s="271" t="s">
        <v>112</v>
      </c>
      <c r="S1173" s="290">
        <f t="shared" si="860"/>
        <v>4.7054591999999991</v>
      </c>
      <c r="T1173" s="275">
        <v>1</v>
      </c>
      <c r="U1173" s="290">
        <f t="shared" si="780"/>
        <v>5.71</v>
      </c>
      <c r="V1173" s="276" t="s">
        <v>48</v>
      </c>
    </row>
    <row r="1174" spans="1:22" s="172" customFormat="1" ht="20.25" customHeight="1">
      <c r="A1174" s="263" t="str">
        <f t="shared" si="774"/>
        <v/>
      </c>
      <c r="B1174" s="263"/>
      <c r="C1174" s="264">
        <f t="shared" si="834"/>
        <v>1163</v>
      </c>
      <c r="D1174" s="277" t="s">
        <v>1714</v>
      </c>
      <c r="E1174" s="293">
        <f t="shared" si="861"/>
        <v>1162</v>
      </c>
      <c r="F1174" s="267" t="s">
        <v>61</v>
      </c>
      <c r="G1174" s="267"/>
      <c r="H1174" s="316">
        <v>18</v>
      </c>
      <c r="I1174" s="316"/>
      <c r="J1174" s="308">
        <f t="shared" ref="J1174" si="870">J1173</f>
        <v>1664</v>
      </c>
      <c r="K1174" s="308" t="str">
        <f t="shared" si="863"/>
        <v>mm id</v>
      </c>
      <c r="L1174" s="367" t="str">
        <f t="shared" ref="L1174" si="871">J1174&amp;" "&amp;K1174</f>
        <v>1664 mm id</v>
      </c>
      <c r="M1174" s="319">
        <v>1</v>
      </c>
      <c r="N1174" s="271" t="s">
        <v>81</v>
      </c>
      <c r="O1174" s="297">
        <f t="shared" si="865"/>
        <v>5.2282879999999992</v>
      </c>
      <c r="P1174" s="271" t="s">
        <v>249</v>
      </c>
      <c r="Q1174" s="324">
        <f>VLOOKUP(H1174,BM!$B$3:$Y$62,20,FALSE)</f>
        <v>0.5</v>
      </c>
      <c r="R1174" s="271" t="s">
        <v>112</v>
      </c>
      <c r="S1174" s="290">
        <f t="shared" si="860"/>
        <v>2.6141439999999996</v>
      </c>
      <c r="T1174" s="275">
        <v>1</v>
      </c>
      <c r="U1174" s="290">
        <f t="shared" si="780"/>
        <v>3.61</v>
      </c>
      <c r="V1174" s="276" t="s">
        <v>48</v>
      </c>
    </row>
    <row r="1175" spans="1:22" s="172" customFormat="1" ht="20.25" customHeight="1">
      <c r="A1175" s="263">
        <f t="shared" si="774"/>
        <v>1164</v>
      </c>
      <c r="B1175" s="263" t="s">
        <v>1263</v>
      </c>
      <c r="C1175" s="264">
        <f t="shared" si="834"/>
        <v>1164</v>
      </c>
      <c r="D1175" s="265" t="s">
        <v>1715</v>
      </c>
      <c r="E1175" s="279">
        <f>A1169</f>
        <v>1158</v>
      </c>
      <c r="F1175" s="267"/>
      <c r="G1175" s="267"/>
      <c r="H1175" s="268"/>
      <c r="I1175" s="268"/>
      <c r="J1175" s="269"/>
      <c r="K1175" s="269"/>
      <c r="L1175" s="269"/>
      <c r="M1175" s="319"/>
      <c r="N1175" s="271"/>
      <c r="O1175" s="280"/>
      <c r="P1175" s="271"/>
      <c r="Q1175" s="281"/>
      <c r="R1175" s="271"/>
      <c r="S1175" s="312"/>
      <c r="T1175" s="282"/>
      <c r="U1175" s="312"/>
      <c r="V1175" s="276"/>
    </row>
    <row r="1176" spans="1:22" s="172" customFormat="1" ht="20.25" customHeight="1">
      <c r="A1176" s="263" t="str">
        <f t="shared" si="774"/>
        <v/>
      </c>
      <c r="B1176" s="263"/>
      <c r="C1176" s="264">
        <f t="shared" si="834"/>
        <v>1165</v>
      </c>
      <c r="D1176" s="277" t="s">
        <v>1716</v>
      </c>
      <c r="E1176" s="293"/>
      <c r="F1176" s="267" t="s">
        <v>312</v>
      </c>
      <c r="G1176" s="267"/>
      <c r="H1176" s="308">
        <f>H1174</f>
        <v>18</v>
      </c>
      <c r="I1176" s="308"/>
      <c r="J1176" s="308">
        <f t="shared" ref="J1176:K1176" si="872">J1174</f>
        <v>1664</v>
      </c>
      <c r="K1176" s="308" t="str">
        <f t="shared" si="872"/>
        <v>mm id</v>
      </c>
      <c r="L1176" s="367" t="str">
        <f t="shared" ref="L1176" si="873">J1176&amp;" "&amp;K1176</f>
        <v>1664 mm id</v>
      </c>
      <c r="M1176" s="326">
        <f t="shared" ref="L1176:N1176" si="874">M1174</f>
        <v>1</v>
      </c>
      <c r="N1176" s="331" t="str">
        <f t="shared" si="874"/>
        <v>Nos</v>
      </c>
      <c r="O1176" s="274">
        <v>1</v>
      </c>
      <c r="P1176" s="296" t="s">
        <v>81</v>
      </c>
      <c r="Q1176" s="273">
        <v>1</v>
      </c>
      <c r="R1176" s="271" t="s">
        <v>41</v>
      </c>
      <c r="S1176" s="290">
        <f t="shared" ref="S1176" si="875">O1176*Q1176</f>
        <v>1</v>
      </c>
      <c r="T1176" s="293"/>
      <c r="U1176" s="290">
        <f t="shared" si="780"/>
        <v>1</v>
      </c>
      <c r="V1176" s="276" t="s">
        <v>42</v>
      </c>
    </row>
    <row r="1177" spans="1:22" s="172" customFormat="1" ht="20.25" customHeight="1">
      <c r="A1177" s="263">
        <f t="shared" si="774"/>
        <v>1166</v>
      </c>
      <c r="B1177" s="263" t="s">
        <v>1263</v>
      </c>
      <c r="C1177" s="264">
        <f t="shared" si="834"/>
        <v>1166</v>
      </c>
      <c r="D1177" s="265" t="s">
        <v>1717</v>
      </c>
      <c r="E1177" s="279">
        <f>C1175</f>
        <v>1164</v>
      </c>
      <c r="F1177" s="267"/>
      <c r="G1177" s="267"/>
      <c r="H1177" s="268"/>
      <c r="I1177" s="268"/>
      <c r="J1177" s="269"/>
      <c r="K1177" s="269"/>
      <c r="L1177" s="269"/>
      <c r="M1177" s="319"/>
      <c r="N1177" s="271"/>
      <c r="O1177" s="280"/>
      <c r="P1177" s="271"/>
      <c r="Q1177" s="281"/>
      <c r="R1177" s="271"/>
      <c r="S1177" s="312"/>
      <c r="T1177" s="282"/>
      <c r="U1177" s="312"/>
      <c r="V1177" s="276"/>
    </row>
    <row r="1178" spans="1:22" s="172" customFormat="1" ht="20.25" customHeight="1">
      <c r="A1178" s="263" t="str">
        <f t="shared" si="774"/>
        <v/>
      </c>
      <c r="B1178" s="263"/>
      <c r="C1178" s="264">
        <f t="shared" si="834"/>
        <v>1167</v>
      </c>
      <c r="D1178" s="277" t="s">
        <v>1718</v>
      </c>
      <c r="E1178" s="293"/>
      <c r="F1178" s="267" t="s">
        <v>44</v>
      </c>
      <c r="G1178" s="267"/>
      <c r="H1178" s="316">
        <v>20</v>
      </c>
      <c r="I1178" s="316"/>
      <c r="J1178" s="308">
        <f>J1176</f>
        <v>1664</v>
      </c>
      <c r="K1178" s="308" t="str">
        <f>K1176</f>
        <v>mm id</v>
      </c>
      <c r="L1178" s="367" t="str">
        <f t="shared" ref="L1178" si="876">J1178&amp;" "&amp;K1178</f>
        <v>1664 mm id</v>
      </c>
      <c r="M1178" s="319">
        <v>1</v>
      </c>
      <c r="N1178" s="271" t="s">
        <v>81</v>
      </c>
      <c r="O1178" s="272">
        <v>1</v>
      </c>
      <c r="P1178" s="271" t="s">
        <v>81</v>
      </c>
      <c r="Q1178" s="273">
        <v>3</v>
      </c>
      <c r="R1178" s="271" t="s">
        <v>112</v>
      </c>
      <c r="S1178" s="290">
        <f t="shared" ref="S1178:S1179" si="877">O1178*Q1178</f>
        <v>3</v>
      </c>
      <c r="T1178" s="275">
        <v>1</v>
      </c>
      <c r="U1178" s="290">
        <f t="shared" si="780"/>
        <v>4</v>
      </c>
      <c r="V1178" s="276" t="s">
        <v>48</v>
      </c>
    </row>
    <row r="1179" spans="1:22" s="172" customFormat="1" ht="20.25" customHeight="1">
      <c r="A1179" s="263" t="str">
        <f t="shared" si="774"/>
        <v/>
      </c>
      <c r="B1179" s="263"/>
      <c r="C1179" s="264">
        <f t="shared" si="834"/>
        <v>1168</v>
      </c>
      <c r="D1179" s="277" t="s">
        <v>1719</v>
      </c>
      <c r="E1179" s="293">
        <f t="shared" ref="E1179" si="878">C1178</f>
        <v>1167</v>
      </c>
      <c r="F1179" s="267" t="s">
        <v>44</v>
      </c>
      <c r="G1179" s="267"/>
      <c r="H1179" s="316">
        <v>20</v>
      </c>
      <c r="I1179" s="316"/>
      <c r="J1179" s="308">
        <f>J1178</f>
        <v>1664</v>
      </c>
      <c r="K1179" s="308" t="str">
        <f>K1178</f>
        <v>mm id</v>
      </c>
      <c r="L1179" s="367" t="str">
        <f t="shared" ref="L1179" si="879">J1179&amp;" "&amp;K1179</f>
        <v>1664 mm id</v>
      </c>
      <c r="M1179" s="319">
        <v>1</v>
      </c>
      <c r="N1179" s="271" t="s">
        <v>81</v>
      </c>
      <c r="O1179" s="272">
        <v>1</v>
      </c>
      <c r="P1179" s="271" t="s">
        <v>81</v>
      </c>
      <c r="Q1179" s="273">
        <v>1</v>
      </c>
      <c r="R1179" s="271" t="s">
        <v>112</v>
      </c>
      <c r="S1179" s="290">
        <f t="shared" si="877"/>
        <v>1</v>
      </c>
      <c r="T1179" s="275">
        <v>1</v>
      </c>
      <c r="U1179" s="290">
        <f t="shared" si="780"/>
        <v>2</v>
      </c>
      <c r="V1179" s="276" t="s">
        <v>48</v>
      </c>
    </row>
    <row r="1180" spans="1:22" s="172" customFormat="1" ht="20.25" customHeight="1">
      <c r="A1180" s="263">
        <f t="shared" ref="A1180:A1243" si="880">IF(B1180="Yes",C1180,"")</f>
        <v>1169</v>
      </c>
      <c r="B1180" s="263" t="s">
        <v>1263</v>
      </c>
      <c r="C1180" s="264">
        <f t="shared" si="834"/>
        <v>1169</v>
      </c>
      <c r="D1180" s="265" t="s">
        <v>1720</v>
      </c>
      <c r="E1180" s="279">
        <f>C1177</f>
        <v>1166</v>
      </c>
      <c r="F1180" s="267"/>
      <c r="G1180" s="267"/>
      <c r="H1180" s="268"/>
      <c r="I1180" s="268"/>
      <c r="J1180" s="269"/>
      <c r="K1180" s="269"/>
      <c r="L1180" s="269"/>
      <c r="M1180" s="319"/>
      <c r="N1180" s="271"/>
      <c r="O1180" s="280"/>
      <c r="P1180" s="271"/>
      <c r="Q1180" s="281"/>
      <c r="R1180" s="271"/>
      <c r="S1180" s="312"/>
      <c r="T1180" s="282"/>
      <c r="U1180" s="312"/>
      <c r="V1180" s="276"/>
    </row>
    <row r="1181" spans="1:22" s="172" customFormat="1" ht="20.25" customHeight="1">
      <c r="A1181" s="263" t="str">
        <f t="shared" si="880"/>
        <v/>
      </c>
      <c r="B1181" s="263"/>
      <c r="C1181" s="264">
        <f t="shared" si="834"/>
        <v>1170</v>
      </c>
      <c r="D1181" s="277" t="s">
        <v>1721</v>
      </c>
      <c r="E1181" s="293"/>
      <c r="F1181" s="267" t="s">
        <v>52</v>
      </c>
      <c r="G1181" s="267"/>
      <c r="H1181" s="268"/>
      <c r="I1181" s="268"/>
      <c r="J1181" s="322">
        <v>40</v>
      </c>
      <c r="K1181" s="322" t="s">
        <v>1090</v>
      </c>
      <c r="L1181" s="367" t="str">
        <f t="shared" ref="L1181:L1182" si="881">J1181&amp;" "&amp;K1181</f>
        <v>40 NB</v>
      </c>
      <c r="M1181" s="319">
        <v>1</v>
      </c>
      <c r="N1181" s="296" t="s">
        <v>81</v>
      </c>
      <c r="O1181" s="272">
        <v>1</v>
      </c>
      <c r="P1181" s="271" t="s">
        <v>81</v>
      </c>
      <c r="Q1181" s="273">
        <v>3</v>
      </c>
      <c r="R1181" s="271" t="s">
        <v>112</v>
      </c>
      <c r="S1181" s="290">
        <f t="shared" ref="S1181:S1182" si="882">O1181*Q1181</f>
        <v>3</v>
      </c>
      <c r="T1181" s="275">
        <v>1</v>
      </c>
      <c r="U1181" s="290">
        <f t="shared" si="780"/>
        <v>4</v>
      </c>
      <c r="V1181" s="276" t="s">
        <v>48</v>
      </c>
    </row>
    <row r="1182" spans="1:22" s="172" customFormat="1" ht="20.25" customHeight="1">
      <c r="A1182" s="263" t="str">
        <f t="shared" si="880"/>
        <v/>
      </c>
      <c r="B1182" s="263"/>
      <c r="C1182" s="264">
        <f t="shared" si="834"/>
        <v>1171</v>
      </c>
      <c r="D1182" s="277" t="s">
        <v>1721</v>
      </c>
      <c r="E1182" s="293">
        <f t="shared" ref="E1182" si="883">C1181</f>
        <v>1170</v>
      </c>
      <c r="F1182" s="267" t="s">
        <v>52</v>
      </c>
      <c r="G1182" s="267"/>
      <c r="H1182" s="268"/>
      <c r="I1182" s="268"/>
      <c r="J1182" s="322">
        <v>40</v>
      </c>
      <c r="K1182" s="322" t="s">
        <v>1090</v>
      </c>
      <c r="L1182" s="367" t="str">
        <f t="shared" si="881"/>
        <v>40 NB</v>
      </c>
      <c r="M1182" s="319">
        <v>1</v>
      </c>
      <c r="N1182" s="296" t="s">
        <v>81</v>
      </c>
      <c r="O1182" s="272">
        <v>1</v>
      </c>
      <c r="P1182" s="271" t="s">
        <v>81</v>
      </c>
      <c r="Q1182" s="273">
        <v>3</v>
      </c>
      <c r="R1182" s="271" t="s">
        <v>112</v>
      </c>
      <c r="S1182" s="290">
        <f t="shared" si="882"/>
        <v>3</v>
      </c>
      <c r="T1182" s="275">
        <v>1</v>
      </c>
      <c r="U1182" s="290">
        <f t="shared" si="780"/>
        <v>4</v>
      </c>
      <c r="V1182" s="276" t="s">
        <v>48</v>
      </c>
    </row>
    <row r="1183" spans="1:22" s="172" customFormat="1" ht="20.25" customHeight="1">
      <c r="A1183" s="263">
        <f t="shared" si="880"/>
        <v>1172</v>
      </c>
      <c r="B1183" s="263" t="s">
        <v>1263</v>
      </c>
      <c r="C1183" s="264">
        <f t="shared" si="834"/>
        <v>1172</v>
      </c>
      <c r="D1183" s="265" t="s">
        <v>1722</v>
      </c>
      <c r="E1183" s="279">
        <f>C1180</f>
        <v>1169</v>
      </c>
      <c r="F1183" s="267"/>
      <c r="G1183" s="267"/>
      <c r="H1183" s="268"/>
      <c r="I1183" s="268"/>
      <c r="J1183" s="269"/>
      <c r="K1183" s="269"/>
      <c r="L1183" s="269"/>
      <c r="M1183" s="319"/>
      <c r="N1183" s="271"/>
      <c r="O1183" s="280"/>
      <c r="P1183" s="271"/>
      <c r="Q1183" s="281"/>
      <c r="R1183" s="271"/>
      <c r="S1183" s="312"/>
      <c r="T1183" s="282"/>
      <c r="U1183" s="312"/>
      <c r="V1183" s="276"/>
    </row>
    <row r="1184" spans="1:22" s="172" customFormat="1" ht="20.25" customHeight="1">
      <c r="A1184" s="263" t="str">
        <f t="shared" si="880"/>
        <v/>
      </c>
      <c r="B1184" s="263"/>
      <c r="C1184" s="264">
        <f t="shared" si="834"/>
        <v>1173</v>
      </c>
      <c r="D1184" s="277" t="s">
        <v>1721</v>
      </c>
      <c r="E1184" s="293"/>
      <c r="F1184" s="267" t="s">
        <v>121</v>
      </c>
      <c r="G1184" s="267"/>
      <c r="H1184" s="268"/>
      <c r="I1184" s="268"/>
      <c r="J1184" s="322">
        <v>40</v>
      </c>
      <c r="K1184" s="322" t="s">
        <v>1090</v>
      </c>
      <c r="L1184" s="367" t="str">
        <f t="shared" ref="L1184:L1185" si="884">J1184&amp;" "&amp;K1184</f>
        <v>40 NB</v>
      </c>
      <c r="M1184" s="319">
        <v>1</v>
      </c>
      <c r="N1184" s="296" t="s">
        <v>81</v>
      </c>
      <c r="O1184" s="272">
        <v>1</v>
      </c>
      <c r="P1184" s="271" t="s">
        <v>81</v>
      </c>
      <c r="Q1184" s="273">
        <v>2</v>
      </c>
      <c r="R1184" s="271" t="s">
        <v>112</v>
      </c>
      <c r="S1184" s="290">
        <f t="shared" ref="S1184:S1185" si="885">O1184*Q1184</f>
        <v>2</v>
      </c>
      <c r="T1184" s="275">
        <v>1</v>
      </c>
      <c r="U1184" s="290">
        <f t="shared" ref="U1184:U1246" si="886">ROUND(S1184+T1184,2)</f>
        <v>3</v>
      </c>
      <c r="V1184" s="276" t="s">
        <v>48</v>
      </c>
    </row>
    <row r="1185" spans="1:22" s="172" customFormat="1" ht="20.25" customHeight="1">
      <c r="A1185" s="263" t="str">
        <f t="shared" si="880"/>
        <v/>
      </c>
      <c r="B1185" s="263"/>
      <c r="C1185" s="264">
        <f t="shared" si="834"/>
        <v>1174</v>
      </c>
      <c r="D1185" s="277" t="s">
        <v>1721</v>
      </c>
      <c r="E1185" s="293">
        <f t="shared" ref="E1185" si="887">C1184</f>
        <v>1173</v>
      </c>
      <c r="F1185" s="267" t="s">
        <v>121</v>
      </c>
      <c r="G1185" s="267"/>
      <c r="H1185" s="268"/>
      <c r="I1185" s="268"/>
      <c r="J1185" s="322">
        <v>40</v>
      </c>
      <c r="K1185" s="322" t="s">
        <v>1090</v>
      </c>
      <c r="L1185" s="367" t="str">
        <f t="shared" si="884"/>
        <v>40 NB</v>
      </c>
      <c r="M1185" s="319">
        <v>1</v>
      </c>
      <c r="N1185" s="296" t="s">
        <v>81</v>
      </c>
      <c r="O1185" s="272">
        <v>1</v>
      </c>
      <c r="P1185" s="271" t="s">
        <v>81</v>
      </c>
      <c r="Q1185" s="273">
        <v>2</v>
      </c>
      <c r="R1185" s="271" t="s">
        <v>112</v>
      </c>
      <c r="S1185" s="290">
        <f t="shared" si="885"/>
        <v>2</v>
      </c>
      <c r="T1185" s="275">
        <v>1</v>
      </c>
      <c r="U1185" s="290">
        <f t="shared" si="886"/>
        <v>3</v>
      </c>
      <c r="V1185" s="276" t="s">
        <v>48</v>
      </c>
    </row>
    <row r="1186" spans="1:22" s="172" customFormat="1" ht="20.25" customHeight="1">
      <c r="A1186" s="263">
        <f t="shared" si="880"/>
        <v>1175</v>
      </c>
      <c r="B1186" s="263" t="s">
        <v>1263</v>
      </c>
      <c r="C1186" s="264">
        <f t="shared" si="834"/>
        <v>1175</v>
      </c>
      <c r="D1186" s="265" t="s">
        <v>1723</v>
      </c>
      <c r="E1186" s="279">
        <f>C1183</f>
        <v>1172</v>
      </c>
      <c r="F1186" s="267"/>
      <c r="G1186" s="267"/>
      <c r="H1186" s="268"/>
      <c r="I1186" s="268"/>
      <c r="J1186" s="269"/>
      <c r="K1186" s="269"/>
      <c r="L1186" s="269"/>
      <c r="M1186" s="319"/>
      <c r="N1186" s="271"/>
      <c r="O1186" s="280"/>
      <c r="P1186" s="271"/>
      <c r="Q1186" s="281"/>
      <c r="R1186" s="271"/>
      <c r="S1186" s="312"/>
      <c r="T1186" s="282"/>
      <c r="U1186" s="312"/>
      <c r="V1186" s="276"/>
    </row>
    <row r="1187" spans="1:22" s="172" customFormat="1" ht="20.25" customHeight="1">
      <c r="A1187" s="263" t="str">
        <f t="shared" si="880"/>
        <v/>
      </c>
      <c r="B1187" s="263"/>
      <c r="C1187" s="264">
        <f t="shared" si="834"/>
        <v>1176</v>
      </c>
      <c r="D1187" s="277" t="s">
        <v>1724</v>
      </c>
      <c r="E1187" s="293"/>
      <c r="F1187" s="267" t="s">
        <v>111</v>
      </c>
      <c r="G1187" s="267"/>
      <c r="H1187" s="268"/>
      <c r="I1187" s="268"/>
      <c r="J1187" s="322">
        <v>40</v>
      </c>
      <c r="K1187" s="322" t="s">
        <v>1090</v>
      </c>
      <c r="L1187" s="367" t="str">
        <f t="shared" ref="L1187:L1188" si="888">J1187&amp;" "&amp;K1187</f>
        <v>40 NB</v>
      </c>
      <c r="M1187" s="319">
        <v>1</v>
      </c>
      <c r="N1187" s="296" t="s">
        <v>81</v>
      </c>
      <c r="O1187" s="272">
        <v>1</v>
      </c>
      <c r="P1187" s="271" t="s">
        <v>81</v>
      </c>
      <c r="Q1187" s="324" t="e">
        <f>VLOOKUP(L1187,BM!$B$3:$Y$62,11,FALSE)</f>
        <v>#N/A</v>
      </c>
      <c r="R1187" s="271" t="s">
        <v>112</v>
      </c>
      <c r="S1187" s="290" t="e">
        <f t="shared" ref="S1187:S1188" si="889">O1187*Q1187</f>
        <v>#N/A</v>
      </c>
      <c r="T1187" s="275">
        <v>1</v>
      </c>
      <c r="U1187" s="290" t="e">
        <f t="shared" si="886"/>
        <v>#N/A</v>
      </c>
      <c r="V1187" s="276" t="s">
        <v>48</v>
      </c>
    </row>
    <row r="1188" spans="1:22" s="172" customFormat="1" ht="20.25" customHeight="1">
      <c r="A1188" s="263" t="str">
        <f t="shared" si="880"/>
        <v/>
      </c>
      <c r="B1188" s="263"/>
      <c r="C1188" s="264">
        <f t="shared" si="834"/>
        <v>1177</v>
      </c>
      <c r="D1188" s="277" t="s">
        <v>1725</v>
      </c>
      <c r="E1188" s="293">
        <f t="shared" ref="E1188" si="890">C1187</f>
        <v>1176</v>
      </c>
      <c r="F1188" s="267" t="s">
        <v>111</v>
      </c>
      <c r="G1188" s="267"/>
      <c r="H1188" s="268"/>
      <c r="I1188" s="268"/>
      <c r="J1188" s="308">
        <f>J1187</f>
        <v>40</v>
      </c>
      <c r="K1188" s="308" t="str">
        <f>K1187</f>
        <v>NB</v>
      </c>
      <c r="L1188" s="367" t="str">
        <f t="shared" si="888"/>
        <v>40 NB</v>
      </c>
      <c r="M1188" s="319">
        <v>1</v>
      </c>
      <c r="N1188" s="296" t="s">
        <v>81</v>
      </c>
      <c r="O1188" s="272">
        <v>1</v>
      </c>
      <c r="P1188" s="271" t="s">
        <v>81</v>
      </c>
      <c r="Q1188" s="324" t="e">
        <f>VLOOKUP(L1188,BM!$B$3:$Y$62,11,FALSE)</f>
        <v>#N/A</v>
      </c>
      <c r="R1188" s="271" t="s">
        <v>112</v>
      </c>
      <c r="S1188" s="290" t="e">
        <f t="shared" si="889"/>
        <v>#N/A</v>
      </c>
      <c r="T1188" s="275">
        <v>1</v>
      </c>
      <c r="U1188" s="290" t="e">
        <f t="shared" si="886"/>
        <v>#N/A</v>
      </c>
      <c r="V1188" s="276" t="s">
        <v>48</v>
      </c>
    </row>
    <row r="1189" spans="1:22" s="172" customFormat="1" ht="20.25" customHeight="1">
      <c r="A1189" s="263">
        <f t="shared" si="880"/>
        <v>1178</v>
      </c>
      <c r="B1189" s="263" t="s">
        <v>1263</v>
      </c>
      <c r="C1189" s="264">
        <f t="shared" si="834"/>
        <v>1178</v>
      </c>
      <c r="D1189" s="265" t="s">
        <v>1726</v>
      </c>
      <c r="E1189" s="279">
        <f>C1186</f>
        <v>1175</v>
      </c>
      <c r="F1189" s="267"/>
      <c r="G1189" s="267"/>
      <c r="H1189" s="268"/>
      <c r="I1189" s="268"/>
      <c r="J1189" s="269"/>
      <c r="K1189" s="269"/>
      <c r="L1189" s="269"/>
      <c r="M1189" s="319"/>
      <c r="N1189" s="271"/>
      <c r="O1189" s="280"/>
      <c r="P1189" s="271"/>
      <c r="Q1189" s="281"/>
      <c r="R1189" s="271"/>
      <c r="S1189" s="312"/>
      <c r="T1189" s="282"/>
      <c r="U1189" s="312"/>
      <c r="V1189" s="276"/>
    </row>
    <row r="1190" spans="1:22" s="172" customFormat="1" ht="20.25" customHeight="1">
      <c r="A1190" s="263" t="str">
        <f t="shared" si="880"/>
        <v/>
      </c>
      <c r="B1190" s="263"/>
      <c r="C1190" s="264">
        <f t="shared" si="834"/>
        <v>1179</v>
      </c>
      <c r="D1190" s="277" t="s">
        <v>1727</v>
      </c>
      <c r="E1190" s="293"/>
      <c r="F1190" s="267" t="s">
        <v>568</v>
      </c>
      <c r="G1190" s="267"/>
      <c r="H1190" s="268"/>
      <c r="I1190" s="268"/>
      <c r="J1190" s="308">
        <f>J1188</f>
        <v>40</v>
      </c>
      <c r="K1190" s="308" t="str">
        <f>K1188</f>
        <v>NB</v>
      </c>
      <c r="L1190" s="367" t="str">
        <f t="shared" ref="L1190" si="891">J1190&amp;" "&amp;K1190</f>
        <v>40 NB</v>
      </c>
      <c r="M1190" s="319">
        <v>1</v>
      </c>
      <c r="N1190" s="296" t="s">
        <v>81</v>
      </c>
      <c r="O1190" s="272">
        <v>1</v>
      </c>
      <c r="P1190" s="271" t="s">
        <v>81</v>
      </c>
      <c r="Q1190" s="273">
        <v>0.5</v>
      </c>
      <c r="R1190" s="271" t="s">
        <v>112</v>
      </c>
      <c r="S1190" s="290">
        <f t="shared" ref="S1190:S1191" si="892">O1190*Q1190</f>
        <v>0.5</v>
      </c>
      <c r="T1190" s="275">
        <v>1</v>
      </c>
      <c r="U1190" s="290">
        <f t="shared" si="886"/>
        <v>1.5</v>
      </c>
      <c r="V1190" s="276" t="s">
        <v>48</v>
      </c>
    </row>
    <row r="1191" spans="1:22" s="172" customFormat="1" ht="20.25" customHeight="1">
      <c r="A1191" s="263" t="str">
        <f t="shared" si="880"/>
        <v/>
      </c>
      <c r="B1191" s="263"/>
      <c r="C1191" s="264">
        <f t="shared" si="834"/>
        <v>1180</v>
      </c>
      <c r="D1191" s="277" t="s">
        <v>1728</v>
      </c>
      <c r="E1191" s="293">
        <f t="shared" ref="E1191" si="893">C1190</f>
        <v>1179</v>
      </c>
      <c r="F1191" s="267" t="s">
        <v>568</v>
      </c>
      <c r="G1191" s="267"/>
      <c r="H1191" s="268"/>
      <c r="I1191" s="268"/>
      <c r="J1191" s="308">
        <f>J1188</f>
        <v>40</v>
      </c>
      <c r="K1191" s="308" t="str">
        <f>K1188</f>
        <v>NB</v>
      </c>
      <c r="L1191" s="367" t="str">
        <f t="shared" ref="L1191" si="894">J1191&amp;" "&amp;K1191</f>
        <v>40 NB</v>
      </c>
      <c r="M1191" s="319">
        <v>1</v>
      </c>
      <c r="N1191" s="296" t="s">
        <v>81</v>
      </c>
      <c r="O1191" s="272">
        <v>1</v>
      </c>
      <c r="P1191" s="271" t="s">
        <v>81</v>
      </c>
      <c r="Q1191" s="273">
        <v>0.5</v>
      </c>
      <c r="R1191" s="271" t="s">
        <v>112</v>
      </c>
      <c r="S1191" s="290">
        <f t="shared" si="892"/>
        <v>0.5</v>
      </c>
      <c r="T1191" s="275">
        <v>1</v>
      </c>
      <c r="U1191" s="290">
        <f t="shared" si="886"/>
        <v>1.5</v>
      </c>
      <c r="V1191" s="276" t="s">
        <v>48</v>
      </c>
    </row>
    <row r="1192" spans="1:22" s="172" customFormat="1" ht="20.25" customHeight="1">
      <c r="A1192" s="263">
        <f t="shared" si="880"/>
        <v>1181</v>
      </c>
      <c r="B1192" s="263" t="s">
        <v>1263</v>
      </c>
      <c r="C1192" s="264">
        <f t="shared" si="834"/>
        <v>1181</v>
      </c>
      <c r="D1192" s="265" t="s">
        <v>1729</v>
      </c>
      <c r="E1192" s="279">
        <f>C1189</f>
        <v>1178</v>
      </c>
      <c r="F1192" s="267"/>
      <c r="G1192" s="267"/>
      <c r="H1192" s="268"/>
      <c r="I1192" s="268"/>
      <c r="J1192" s="269"/>
      <c r="K1192" s="269"/>
      <c r="L1192" s="269"/>
      <c r="M1192" s="319"/>
      <c r="N1192" s="271"/>
      <c r="O1192" s="280"/>
      <c r="P1192" s="271"/>
      <c r="Q1192" s="281"/>
      <c r="R1192" s="271"/>
      <c r="S1192" s="312"/>
      <c r="T1192" s="282"/>
      <c r="U1192" s="312"/>
      <c r="V1192" s="276"/>
    </row>
    <row r="1193" spans="1:22" s="172" customFormat="1" ht="20.25" customHeight="1">
      <c r="A1193" s="263" t="str">
        <f t="shared" si="880"/>
        <v/>
      </c>
      <c r="B1193" s="263"/>
      <c r="C1193" s="264">
        <f t="shared" si="834"/>
        <v>1182</v>
      </c>
      <c r="D1193" s="277" t="s">
        <v>1730</v>
      </c>
      <c r="E1193" s="293"/>
      <c r="F1193" s="267" t="s">
        <v>37</v>
      </c>
      <c r="G1193" s="267"/>
      <c r="H1193" s="322">
        <v>40</v>
      </c>
      <c r="I1193" s="322" t="s">
        <v>1090</v>
      </c>
      <c r="J1193" s="317">
        <f>J1191</f>
        <v>40</v>
      </c>
      <c r="K1193" s="317" t="str">
        <f>K1191</f>
        <v>NB</v>
      </c>
      <c r="L1193" s="367" t="str">
        <f t="shared" ref="L1193" si="895">J1193&amp;" "&amp;K1193</f>
        <v>40 NB</v>
      </c>
      <c r="M1193" s="319">
        <v>1</v>
      </c>
      <c r="N1193" s="271" t="s">
        <v>81</v>
      </c>
      <c r="O1193" s="272">
        <v>1</v>
      </c>
      <c r="P1193" s="271" t="s">
        <v>81</v>
      </c>
      <c r="Q1193" s="273">
        <v>0.5</v>
      </c>
      <c r="R1193" s="271" t="s">
        <v>112</v>
      </c>
      <c r="S1193" s="290">
        <f t="shared" ref="S1193:S1198" si="896">O1193*Q1193</f>
        <v>0.5</v>
      </c>
      <c r="T1193" s="275">
        <v>1</v>
      </c>
      <c r="U1193" s="290">
        <f t="shared" si="886"/>
        <v>1.5</v>
      </c>
      <c r="V1193" s="276" t="s">
        <v>48</v>
      </c>
    </row>
    <row r="1194" spans="1:22" s="172" customFormat="1" ht="20.25" customHeight="1">
      <c r="A1194" s="263" t="str">
        <f t="shared" si="880"/>
        <v/>
      </c>
      <c r="B1194" s="263"/>
      <c r="C1194" s="264">
        <f t="shared" si="834"/>
        <v>1183</v>
      </c>
      <c r="D1194" s="277" t="s">
        <v>1731</v>
      </c>
      <c r="E1194" s="293">
        <f t="shared" ref="E1194:E1198" si="897">C1193</f>
        <v>1182</v>
      </c>
      <c r="F1194" s="267" t="s">
        <v>115</v>
      </c>
      <c r="G1194" s="267"/>
      <c r="H1194" s="316">
        <v>10</v>
      </c>
      <c r="I1194" s="316"/>
      <c r="J1194" s="294">
        <v>75</v>
      </c>
      <c r="K1194" s="294" t="s">
        <v>1831</v>
      </c>
      <c r="L1194" s="367" t="str">
        <f t="shared" ref="L1194:L1195" si="898">J1194&amp;" "&amp;K1194</f>
        <v>75 mm</v>
      </c>
      <c r="M1194" s="319">
        <v>1</v>
      </c>
      <c r="N1194" s="296" t="s">
        <v>81</v>
      </c>
      <c r="O1194" s="297">
        <f t="shared" ref="O1194:O1195" si="899">LEFT(L1194,SEARCH(" ",L1194,1)-1)*M1194*3.142/1000</f>
        <v>0.23565</v>
      </c>
      <c r="P1194" s="271"/>
      <c r="Q1194" s="324">
        <f>VLOOKUP(H1194,BM!$B$3:$Y$62,17,FALSE)</f>
        <v>1.88</v>
      </c>
      <c r="R1194" s="271" t="s">
        <v>112</v>
      </c>
      <c r="S1194" s="290">
        <f t="shared" si="896"/>
        <v>0.44302199999999997</v>
      </c>
      <c r="T1194" s="275">
        <v>1</v>
      </c>
      <c r="U1194" s="290">
        <f t="shared" si="886"/>
        <v>1.44</v>
      </c>
      <c r="V1194" s="276" t="s">
        <v>48</v>
      </c>
    </row>
    <row r="1195" spans="1:22" s="172" customFormat="1" ht="20.25" customHeight="1">
      <c r="A1195" s="263" t="str">
        <f t="shared" si="880"/>
        <v/>
      </c>
      <c r="B1195" s="263"/>
      <c r="C1195" s="264">
        <f t="shared" si="834"/>
        <v>1184</v>
      </c>
      <c r="D1195" s="277" t="s">
        <v>1732</v>
      </c>
      <c r="E1195" s="293">
        <f t="shared" si="897"/>
        <v>1183</v>
      </c>
      <c r="F1195" s="267" t="s">
        <v>115</v>
      </c>
      <c r="G1195" s="267"/>
      <c r="H1195" s="316">
        <v>10</v>
      </c>
      <c r="I1195" s="316"/>
      <c r="J1195" s="308">
        <f>J1194</f>
        <v>75</v>
      </c>
      <c r="K1195" s="308" t="str">
        <f>K1194</f>
        <v>mm</v>
      </c>
      <c r="L1195" s="367" t="str">
        <f t="shared" si="898"/>
        <v>75 mm</v>
      </c>
      <c r="M1195" s="319">
        <v>1</v>
      </c>
      <c r="N1195" s="296" t="s">
        <v>81</v>
      </c>
      <c r="O1195" s="297">
        <f t="shared" si="899"/>
        <v>0.23565</v>
      </c>
      <c r="P1195" s="271"/>
      <c r="Q1195" s="324">
        <f>VLOOKUP(H1195,BM!$B$3:$Y$62,17,FALSE)</f>
        <v>1.88</v>
      </c>
      <c r="R1195" s="271" t="s">
        <v>112</v>
      </c>
      <c r="S1195" s="290">
        <f t="shared" si="896"/>
        <v>0.44302199999999997</v>
      </c>
      <c r="T1195" s="275">
        <v>1</v>
      </c>
      <c r="U1195" s="290">
        <f t="shared" si="886"/>
        <v>1.44</v>
      </c>
      <c r="V1195" s="276" t="s">
        <v>48</v>
      </c>
    </row>
    <row r="1196" spans="1:22" s="172" customFormat="1" ht="20.25" customHeight="1">
      <c r="A1196" s="263" t="str">
        <f t="shared" si="880"/>
        <v/>
      </c>
      <c r="B1196" s="263"/>
      <c r="C1196" s="264">
        <f t="shared" si="834"/>
        <v>1185</v>
      </c>
      <c r="D1196" s="277" t="s">
        <v>1733</v>
      </c>
      <c r="E1196" s="293">
        <f t="shared" si="897"/>
        <v>1184</v>
      </c>
      <c r="F1196" s="267" t="s">
        <v>44</v>
      </c>
      <c r="G1196" s="267"/>
      <c r="H1196" s="268"/>
      <c r="I1196" s="268"/>
      <c r="J1196" s="308">
        <f>J1195</f>
        <v>75</v>
      </c>
      <c r="K1196" s="308" t="str">
        <f>K1195</f>
        <v>mm</v>
      </c>
      <c r="L1196" s="367" t="str">
        <f t="shared" ref="L1196" si="900">J1196&amp;" "&amp;K1196</f>
        <v>75 mm</v>
      </c>
      <c r="M1196" s="319">
        <v>2</v>
      </c>
      <c r="N1196" s="296" t="s">
        <v>81</v>
      </c>
      <c r="O1196" s="272">
        <v>2</v>
      </c>
      <c r="P1196" s="271"/>
      <c r="Q1196" s="273">
        <v>0.5</v>
      </c>
      <c r="R1196" s="271" t="s">
        <v>112</v>
      </c>
      <c r="S1196" s="290">
        <f t="shared" si="896"/>
        <v>1</v>
      </c>
      <c r="T1196" s="275">
        <v>1</v>
      </c>
      <c r="U1196" s="290">
        <f t="shared" si="886"/>
        <v>2</v>
      </c>
      <c r="V1196" s="276" t="s">
        <v>48</v>
      </c>
    </row>
    <row r="1197" spans="1:22" s="172" customFormat="1" ht="20.25" customHeight="1">
      <c r="A1197" s="263" t="str">
        <f t="shared" si="880"/>
        <v/>
      </c>
      <c r="B1197" s="263"/>
      <c r="C1197" s="264">
        <f t="shared" si="834"/>
        <v>1186</v>
      </c>
      <c r="D1197" s="277" t="s">
        <v>1734</v>
      </c>
      <c r="E1197" s="293">
        <f t="shared" si="897"/>
        <v>1185</v>
      </c>
      <c r="F1197" s="267" t="s">
        <v>115</v>
      </c>
      <c r="G1197" s="267"/>
      <c r="H1197" s="316">
        <v>10</v>
      </c>
      <c r="I1197" s="316"/>
      <c r="J1197" s="308">
        <f>J1196</f>
        <v>75</v>
      </c>
      <c r="K1197" s="308" t="str">
        <f>K1196</f>
        <v>mm</v>
      </c>
      <c r="L1197" s="367" t="str">
        <f t="shared" ref="L1197" si="901">J1197&amp;" "&amp;K1197</f>
        <v>75 mm</v>
      </c>
      <c r="M1197" s="319">
        <v>1</v>
      </c>
      <c r="N1197" s="296" t="s">
        <v>81</v>
      </c>
      <c r="O1197" s="297">
        <f t="shared" ref="O1197:O1198" si="902">LEFT(L1197,SEARCH(" ",L1197,1)-1)*M1197*3.142/1000</f>
        <v>0.23565</v>
      </c>
      <c r="P1197" s="271"/>
      <c r="Q1197" s="324">
        <f>VLOOKUP(H1197,BM!$B$3:$Y$62,17,FALSE)</f>
        <v>1.88</v>
      </c>
      <c r="R1197" s="271" t="s">
        <v>112</v>
      </c>
      <c r="S1197" s="290">
        <f t="shared" si="896"/>
        <v>0.44302199999999997</v>
      </c>
      <c r="T1197" s="275">
        <v>1</v>
      </c>
      <c r="U1197" s="290">
        <f t="shared" si="886"/>
        <v>1.44</v>
      </c>
      <c r="V1197" s="276" t="s">
        <v>48</v>
      </c>
    </row>
    <row r="1198" spans="1:22" s="172" customFormat="1" ht="20.25" customHeight="1">
      <c r="A1198" s="263" t="str">
        <f t="shared" si="880"/>
        <v/>
      </c>
      <c r="B1198" s="263"/>
      <c r="C1198" s="264">
        <f t="shared" si="834"/>
        <v>1187</v>
      </c>
      <c r="D1198" s="277" t="s">
        <v>1735</v>
      </c>
      <c r="E1198" s="293">
        <f t="shared" si="897"/>
        <v>1186</v>
      </c>
      <c r="F1198" s="267" t="s">
        <v>115</v>
      </c>
      <c r="G1198" s="267"/>
      <c r="H1198" s="316">
        <v>10</v>
      </c>
      <c r="I1198" s="316"/>
      <c r="J1198" s="308">
        <f>J1197</f>
        <v>75</v>
      </c>
      <c r="K1198" s="308" t="str">
        <f>K1197</f>
        <v>mm</v>
      </c>
      <c r="L1198" s="367" t="str">
        <f t="shared" ref="L1198" si="903">J1198&amp;" "&amp;K1198</f>
        <v>75 mm</v>
      </c>
      <c r="M1198" s="319">
        <v>1</v>
      </c>
      <c r="N1198" s="296" t="s">
        <v>81</v>
      </c>
      <c r="O1198" s="297">
        <f t="shared" si="902"/>
        <v>0.23565</v>
      </c>
      <c r="P1198" s="271"/>
      <c r="Q1198" s="324">
        <f>VLOOKUP(H1198,BM!$B$3:$Y$62,17,FALSE)</f>
        <v>1.88</v>
      </c>
      <c r="R1198" s="271" t="s">
        <v>112</v>
      </c>
      <c r="S1198" s="290">
        <f t="shared" si="896"/>
        <v>0.44302199999999997</v>
      </c>
      <c r="T1198" s="275">
        <v>1</v>
      </c>
      <c r="U1198" s="290">
        <f t="shared" si="886"/>
        <v>1.44</v>
      </c>
      <c r="V1198" s="276" t="s">
        <v>48</v>
      </c>
    </row>
    <row r="1199" spans="1:22" s="172" customFormat="1" ht="20.25" customHeight="1">
      <c r="A1199" s="263">
        <f t="shared" si="880"/>
        <v>1188</v>
      </c>
      <c r="B1199" s="263" t="s">
        <v>1263</v>
      </c>
      <c r="C1199" s="264">
        <f t="shared" si="834"/>
        <v>1188</v>
      </c>
      <c r="D1199" s="265" t="s">
        <v>1736</v>
      </c>
      <c r="E1199" s="279">
        <f>C1192</f>
        <v>1181</v>
      </c>
      <c r="F1199" s="267"/>
      <c r="G1199" s="267"/>
      <c r="H1199" s="268"/>
      <c r="I1199" s="268"/>
      <c r="J1199" s="269"/>
      <c r="K1199" s="269"/>
      <c r="L1199" s="269"/>
      <c r="M1199" s="319"/>
      <c r="N1199" s="271"/>
      <c r="O1199" s="280"/>
      <c r="P1199" s="271"/>
      <c r="Q1199" s="281"/>
      <c r="R1199" s="271"/>
      <c r="S1199" s="312"/>
      <c r="T1199" s="282"/>
      <c r="U1199" s="312"/>
      <c r="V1199" s="276"/>
    </row>
    <row r="1200" spans="1:22" s="172" customFormat="1" ht="20.25" customHeight="1">
      <c r="A1200" s="263" t="str">
        <f t="shared" si="880"/>
        <v/>
      </c>
      <c r="B1200" s="263"/>
      <c r="C1200" s="264">
        <f t="shared" si="834"/>
        <v>1189</v>
      </c>
      <c r="D1200" s="277" t="s">
        <v>1737</v>
      </c>
      <c r="E1200" s="293"/>
      <c r="F1200" s="267" t="s">
        <v>149</v>
      </c>
      <c r="G1200" s="267"/>
      <c r="H1200" s="316">
        <v>20</v>
      </c>
      <c r="I1200" s="316"/>
      <c r="J1200" s="308">
        <f>J1191</f>
        <v>40</v>
      </c>
      <c r="K1200" s="308" t="str">
        <f>K1191</f>
        <v>NB</v>
      </c>
      <c r="L1200" s="367" t="str">
        <f t="shared" ref="L1200" si="904">J1200&amp;" "&amp;K1200</f>
        <v>40 NB</v>
      </c>
      <c r="M1200" s="319">
        <v>1</v>
      </c>
      <c r="N1200" s="296" t="s">
        <v>81</v>
      </c>
      <c r="O1200" s="272">
        <v>1</v>
      </c>
      <c r="P1200" s="296" t="s">
        <v>81</v>
      </c>
      <c r="Q1200" s="324">
        <f>VLOOKUP(H1200,BM!$B$3:$Y$62,23,FALSE)</f>
        <v>8</v>
      </c>
      <c r="R1200" s="271" t="s">
        <v>112</v>
      </c>
      <c r="S1200" s="290">
        <f t="shared" ref="S1200:S1201" si="905">O1200*Q1200</f>
        <v>8</v>
      </c>
      <c r="T1200" s="275">
        <v>1</v>
      </c>
      <c r="U1200" s="290">
        <f t="shared" si="886"/>
        <v>9</v>
      </c>
      <c r="V1200" s="276" t="s">
        <v>48</v>
      </c>
    </row>
    <row r="1201" spans="1:22" s="172" customFormat="1" ht="20.25" customHeight="1">
      <c r="A1201" s="263" t="str">
        <f t="shared" si="880"/>
        <v/>
      </c>
      <c r="B1201" s="263"/>
      <c r="C1201" s="264">
        <f t="shared" si="834"/>
        <v>1190</v>
      </c>
      <c r="D1201" s="277" t="s">
        <v>1738</v>
      </c>
      <c r="E1201" s="293">
        <f t="shared" ref="E1201" si="906">C1200</f>
        <v>1189</v>
      </c>
      <c r="F1201" s="267" t="s">
        <v>63</v>
      </c>
      <c r="G1201" s="267"/>
      <c r="H1201" s="316" t="s">
        <v>581</v>
      </c>
      <c r="I1201" s="316"/>
      <c r="J1201" s="308">
        <f>J1191</f>
        <v>40</v>
      </c>
      <c r="K1201" s="308" t="str">
        <f>K1191</f>
        <v>NB</v>
      </c>
      <c r="L1201" s="367" t="str">
        <f t="shared" ref="L1201" si="907">J1201&amp;" "&amp;K1201</f>
        <v>40 NB</v>
      </c>
      <c r="M1201" s="319">
        <v>1</v>
      </c>
      <c r="N1201" s="271" t="s">
        <v>485</v>
      </c>
      <c r="O1201" s="272">
        <v>1</v>
      </c>
      <c r="P1201" s="296" t="s">
        <v>81</v>
      </c>
      <c r="Q1201" s="273">
        <v>1</v>
      </c>
      <c r="R1201" s="271" t="s">
        <v>41</v>
      </c>
      <c r="S1201" s="290">
        <f t="shared" si="905"/>
        <v>1</v>
      </c>
      <c r="T1201" s="275"/>
      <c r="U1201" s="290">
        <f t="shared" si="886"/>
        <v>1</v>
      </c>
      <c r="V1201" s="276" t="s">
        <v>48</v>
      </c>
    </row>
    <row r="1202" spans="1:22" s="172" customFormat="1" ht="20.25" customHeight="1">
      <c r="A1202" s="263">
        <f t="shared" si="880"/>
        <v>1191</v>
      </c>
      <c r="B1202" s="263" t="s">
        <v>1263</v>
      </c>
      <c r="C1202" s="264">
        <f t="shared" si="834"/>
        <v>1191</v>
      </c>
      <c r="D1202" s="265" t="s">
        <v>1739</v>
      </c>
      <c r="E1202" s="279"/>
      <c r="F1202" s="267"/>
      <c r="G1202" s="267"/>
      <c r="H1202" s="268"/>
      <c r="I1202" s="268"/>
      <c r="J1202" s="269"/>
      <c r="K1202" s="269"/>
      <c r="L1202" s="269"/>
      <c r="M1202" s="319"/>
      <c r="N1202" s="271"/>
      <c r="O1202" s="280"/>
      <c r="P1202" s="271"/>
      <c r="Q1202" s="281"/>
      <c r="R1202" s="271"/>
      <c r="S1202" s="312"/>
      <c r="T1202" s="282"/>
      <c r="U1202" s="312"/>
      <c r="V1202" s="276"/>
    </row>
    <row r="1203" spans="1:22" s="172" customFormat="1" ht="20.25" customHeight="1">
      <c r="A1203" s="263">
        <f t="shared" si="880"/>
        <v>1192</v>
      </c>
      <c r="B1203" s="263" t="s">
        <v>1263</v>
      </c>
      <c r="C1203" s="264">
        <f t="shared" si="834"/>
        <v>1192</v>
      </c>
      <c r="D1203" s="265" t="s">
        <v>1740</v>
      </c>
      <c r="E1203" s="279">
        <f>13</f>
        <v>13</v>
      </c>
      <c r="F1203" s="267"/>
      <c r="G1203" s="267"/>
      <c r="H1203" s="268"/>
      <c r="I1203" s="268"/>
      <c r="J1203" s="269"/>
      <c r="K1203" s="269"/>
      <c r="L1203" s="269"/>
      <c r="M1203" s="319"/>
      <c r="N1203" s="271"/>
      <c r="O1203" s="280"/>
      <c r="P1203" s="271"/>
      <c r="Q1203" s="281"/>
      <c r="R1203" s="271"/>
      <c r="S1203" s="312"/>
      <c r="T1203" s="282"/>
      <c r="U1203" s="312"/>
      <c r="V1203" s="276"/>
    </row>
    <row r="1204" spans="1:22" s="172" customFormat="1" ht="20.25" customHeight="1">
      <c r="A1204" s="263" t="str">
        <f t="shared" si="880"/>
        <v/>
      </c>
      <c r="B1204" s="263"/>
      <c r="C1204" s="264">
        <f t="shared" si="834"/>
        <v>1193</v>
      </c>
      <c r="D1204" s="277" t="s">
        <v>1741</v>
      </c>
      <c r="E1204" s="293"/>
      <c r="F1204" s="267" t="s">
        <v>37</v>
      </c>
      <c r="G1204" s="267"/>
      <c r="H1204" s="268"/>
      <c r="I1204" s="268"/>
      <c r="J1204" s="269"/>
      <c r="K1204" s="269"/>
      <c r="L1204" s="269"/>
      <c r="M1204" s="319">
        <v>1</v>
      </c>
      <c r="N1204" s="296" t="s">
        <v>81</v>
      </c>
      <c r="O1204" s="272">
        <v>1</v>
      </c>
      <c r="P1204" s="271"/>
      <c r="Q1204" s="273">
        <v>4</v>
      </c>
      <c r="R1204" s="271" t="s">
        <v>41</v>
      </c>
      <c r="S1204" s="290">
        <f t="shared" ref="S1204:S1208" si="908">O1204*Q1204</f>
        <v>4</v>
      </c>
      <c r="T1204" s="275"/>
      <c r="U1204" s="290">
        <f t="shared" si="886"/>
        <v>4</v>
      </c>
      <c r="V1204" s="276" t="s">
        <v>42</v>
      </c>
    </row>
    <row r="1205" spans="1:22" s="172" customFormat="1" ht="20.25" customHeight="1">
      <c r="A1205" s="263" t="str">
        <f t="shared" si="880"/>
        <v/>
      </c>
      <c r="B1205" s="263"/>
      <c r="C1205" s="264">
        <f t="shared" si="834"/>
        <v>1194</v>
      </c>
      <c r="D1205" s="277" t="s">
        <v>1742</v>
      </c>
      <c r="E1205" s="293">
        <f t="shared" ref="E1205:E1208" si="909">C1204</f>
        <v>1193</v>
      </c>
      <c r="F1205" s="267" t="s">
        <v>44</v>
      </c>
      <c r="G1205" s="267"/>
      <c r="H1205" s="316">
        <v>50</v>
      </c>
      <c r="I1205" s="316"/>
      <c r="J1205" s="316">
        <v>1550</v>
      </c>
      <c r="K1205" s="322" t="s">
        <v>1833</v>
      </c>
      <c r="L1205" s="367" t="str">
        <f t="shared" ref="L1205:L1208" si="910">J1205&amp;" "&amp;K1205</f>
        <v>1550 mm id</v>
      </c>
      <c r="M1205" s="319">
        <v>1</v>
      </c>
      <c r="N1205" s="271" t="s">
        <v>81</v>
      </c>
      <c r="O1205" s="297">
        <f>LEFT(L1205,SEARCH(" ",L1205,1)-1)*1.28*3.142/1000</f>
        <v>6.2337280000000002</v>
      </c>
      <c r="P1205" s="271" t="s">
        <v>139</v>
      </c>
      <c r="Q1205" s="324">
        <f>VLOOKUP(H1205,BM!$B$3:$Y$62,2,FALSE)</f>
        <v>0.1</v>
      </c>
      <c r="R1205" s="271" t="s">
        <v>112</v>
      </c>
      <c r="S1205" s="290">
        <f t="shared" si="908"/>
        <v>0.62337280000000006</v>
      </c>
      <c r="T1205" s="275">
        <v>1</v>
      </c>
      <c r="U1205" s="290">
        <f t="shared" si="886"/>
        <v>1.62</v>
      </c>
      <c r="V1205" s="276" t="s">
        <v>48</v>
      </c>
    </row>
    <row r="1206" spans="1:22" s="172" customFormat="1" ht="20.25" customHeight="1">
      <c r="A1206" s="263" t="str">
        <f t="shared" si="880"/>
        <v/>
      </c>
      <c r="B1206" s="263"/>
      <c r="C1206" s="264">
        <f t="shared" si="834"/>
        <v>1195</v>
      </c>
      <c r="D1206" s="277" t="s">
        <v>1743</v>
      </c>
      <c r="E1206" s="293">
        <f t="shared" si="909"/>
        <v>1194</v>
      </c>
      <c r="F1206" s="267" t="s">
        <v>44</v>
      </c>
      <c r="G1206" s="267"/>
      <c r="H1206" s="315">
        <v>50</v>
      </c>
      <c r="I1206" s="315"/>
      <c r="J1206" s="316">
        <v>1550</v>
      </c>
      <c r="K1206" s="322" t="s">
        <v>1833</v>
      </c>
      <c r="L1206" s="367" t="str">
        <f t="shared" si="910"/>
        <v>1550 mm id</v>
      </c>
      <c r="M1206" s="319">
        <v>1</v>
      </c>
      <c r="N1206" s="271" t="s">
        <v>81</v>
      </c>
      <c r="O1206" s="318">
        <v>1</v>
      </c>
      <c r="P1206" s="271" t="s">
        <v>81</v>
      </c>
      <c r="Q1206" s="325">
        <v>1</v>
      </c>
      <c r="R1206" s="271" t="s">
        <v>162</v>
      </c>
      <c r="S1206" s="290">
        <f t="shared" si="908"/>
        <v>1</v>
      </c>
      <c r="T1206" s="275">
        <v>1</v>
      </c>
      <c r="U1206" s="290">
        <f t="shared" si="886"/>
        <v>2</v>
      </c>
      <c r="V1206" s="276" t="s">
        <v>48</v>
      </c>
    </row>
    <row r="1207" spans="1:22" s="172" customFormat="1" ht="20.25" customHeight="1">
      <c r="A1207" s="263" t="str">
        <f t="shared" si="880"/>
        <v/>
      </c>
      <c r="B1207" s="263"/>
      <c r="C1207" s="264">
        <f t="shared" si="834"/>
        <v>1196</v>
      </c>
      <c r="D1207" s="277" t="s">
        <v>1744</v>
      </c>
      <c r="E1207" s="293">
        <f t="shared" si="909"/>
        <v>1195</v>
      </c>
      <c r="F1207" s="267" t="s">
        <v>52</v>
      </c>
      <c r="G1207" s="267"/>
      <c r="H1207" s="315">
        <v>50</v>
      </c>
      <c r="I1207" s="315"/>
      <c r="J1207" s="316">
        <v>1550</v>
      </c>
      <c r="K1207" s="322" t="s">
        <v>1833</v>
      </c>
      <c r="L1207" s="367" t="str">
        <f t="shared" si="910"/>
        <v>1550 mm id</v>
      </c>
      <c r="M1207" s="319">
        <v>1</v>
      </c>
      <c r="N1207" s="271" t="s">
        <v>81</v>
      </c>
      <c r="O1207" s="297">
        <f>LEFT(L1207,SEARCH(" ",L1207,1)-1)*1.28*3.142/1000</f>
        <v>6.2337280000000002</v>
      </c>
      <c r="P1207" s="271" t="s">
        <v>139</v>
      </c>
      <c r="Q1207" s="324">
        <f>VLOOKUP(H1207,BM!$B$3:$Y$62,3,FALSE)</f>
        <v>0.25</v>
      </c>
      <c r="R1207" s="271" t="s">
        <v>112</v>
      </c>
      <c r="S1207" s="290">
        <f t="shared" si="908"/>
        <v>1.558432</v>
      </c>
      <c r="T1207" s="275">
        <v>1</v>
      </c>
      <c r="U1207" s="290">
        <f t="shared" si="886"/>
        <v>2.56</v>
      </c>
      <c r="V1207" s="276" t="s">
        <v>48</v>
      </c>
    </row>
    <row r="1208" spans="1:22" s="172" customFormat="1" ht="20.25" customHeight="1">
      <c r="A1208" s="263" t="str">
        <f t="shared" si="880"/>
        <v/>
      </c>
      <c r="B1208" s="263"/>
      <c r="C1208" s="264">
        <f t="shared" si="834"/>
        <v>1197</v>
      </c>
      <c r="D1208" s="277" t="s">
        <v>1745</v>
      </c>
      <c r="E1208" s="293">
        <f t="shared" si="909"/>
        <v>1196</v>
      </c>
      <c r="F1208" s="267" t="s">
        <v>61</v>
      </c>
      <c r="G1208" s="267"/>
      <c r="H1208" s="308">
        <f>H1205</f>
        <v>50</v>
      </c>
      <c r="I1208" s="308"/>
      <c r="J1208" s="316">
        <v>1550</v>
      </c>
      <c r="K1208" s="322" t="s">
        <v>1833</v>
      </c>
      <c r="L1208" s="367" t="str">
        <f t="shared" si="910"/>
        <v>1550 mm id</v>
      </c>
      <c r="M1208" s="319">
        <v>1</v>
      </c>
      <c r="N1208" s="271" t="s">
        <v>81</v>
      </c>
      <c r="O1208" s="297">
        <f>LEFT(L1208,SEARCH(" ",L1208,1)-1)*1.28*3.142/1000</f>
        <v>6.2337280000000002</v>
      </c>
      <c r="P1208" s="271" t="s">
        <v>139</v>
      </c>
      <c r="Q1208" s="324">
        <f>VLOOKUP(H1208,BM!$B$3:$Y$62,6,FALSE)</f>
        <v>1</v>
      </c>
      <c r="R1208" s="271" t="s">
        <v>112</v>
      </c>
      <c r="S1208" s="290">
        <f t="shared" si="908"/>
        <v>6.2337280000000002</v>
      </c>
      <c r="T1208" s="275">
        <v>1</v>
      </c>
      <c r="U1208" s="290">
        <f t="shared" si="886"/>
        <v>7.23</v>
      </c>
      <c r="V1208" s="276" t="s">
        <v>48</v>
      </c>
    </row>
    <row r="1209" spans="1:22" s="172" customFormat="1" ht="20.25" customHeight="1">
      <c r="A1209" s="263">
        <f t="shared" si="880"/>
        <v>1198</v>
      </c>
      <c r="B1209" s="263" t="s">
        <v>1263</v>
      </c>
      <c r="C1209" s="264">
        <f t="shared" si="834"/>
        <v>1198</v>
      </c>
      <c r="D1209" s="265" t="s">
        <v>1746</v>
      </c>
      <c r="E1209" s="279">
        <f>C1203</f>
        <v>1192</v>
      </c>
      <c r="F1209" s="267"/>
      <c r="G1209" s="267"/>
      <c r="H1209" s="268"/>
      <c r="I1209" s="268"/>
      <c r="J1209" s="269"/>
      <c r="K1209" s="269"/>
      <c r="L1209" s="269"/>
      <c r="M1209" s="319"/>
      <c r="N1209" s="271"/>
      <c r="O1209" s="280"/>
      <c r="P1209" s="271"/>
      <c r="Q1209" s="281"/>
      <c r="R1209" s="271"/>
      <c r="S1209" s="312"/>
      <c r="T1209" s="282"/>
      <c r="U1209" s="312"/>
      <c r="V1209" s="276"/>
    </row>
    <row r="1210" spans="1:22" s="172" customFormat="1" ht="20.25" customHeight="1">
      <c r="A1210" s="263" t="str">
        <f t="shared" si="880"/>
        <v/>
      </c>
      <c r="B1210" s="263"/>
      <c r="C1210" s="264">
        <f t="shared" si="834"/>
        <v>1199</v>
      </c>
      <c r="D1210" s="277" t="s">
        <v>1747</v>
      </c>
      <c r="E1210" s="293">
        <f t="shared" ref="E1210:E1211" si="911">C1209</f>
        <v>1198</v>
      </c>
      <c r="F1210" s="267" t="s">
        <v>55</v>
      </c>
      <c r="G1210" s="267"/>
      <c r="H1210" s="308">
        <f>H1208</f>
        <v>50</v>
      </c>
      <c r="I1210" s="308"/>
      <c r="J1210" s="317">
        <f>J1207</f>
        <v>1550</v>
      </c>
      <c r="K1210" s="317" t="str">
        <f>K1207</f>
        <v>mm id</v>
      </c>
      <c r="L1210" s="367" t="str">
        <f t="shared" ref="L1210:L1222" si="912">J1210&amp;" "&amp;K1210</f>
        <v>1550 mm id</v>
      </c>
      <c r="M1210" s="319">
        <v>1</v>
      </c>
      <c r="N1210" s="271" t="s">
        <v>81</v>
      </c>
      <c r="O1210" s="272">
        <v>1</v>
      </c>
      <c r="P1210" s="296" t="s">
        <v>81</v>
      </c>
      <c r="Q1210" s="273">
        <v>10</v>
      </c>
      <c r="R1210" s="271" t="s">
        <v>41</v>
      </c>
      <c r="S1210" s="290">
        <f t="shared" ref="S1210:S1211" si="913">O1210*Q1210</f>
        <v>10</v>
      </c>
      <c r="T1210" s="275"/>
      <c r="U1210" s="290">
        <f t="shared" si="886"/>
        <v>10</v>
      </c>
      <c r="V1210" s="276" t="s">
        <v>42</v>
      </c>
    </row>
    <row r="1211" spans="1:22" s="172" customFormat="1" ht="20.25" customHeight="1">
      <c r="A1211" s="263" t="str">
        <f t="shared" si="880"/>
        <v/>
      </c>
      <c r="B1211" s="263"/>
      <c r="C1211" s="264">
        <f t="shared" si="834"/>
        <v>1200</v>
      </c>
      <c r="D1211" s="277" t="s">
        <v>1748</v>
      </c>
      <c r="E1211" s="293">
        <f t="shared" si="911"/>
        <v>1199</v>
      </c>
      <c r="F1211" s="267" t="s">
        <v>44</v>
      </c>
      <c r="G1211" s="267"/>
      <c r="H1211" s="308">
        <f>H1208</f>
        <v>50</v>
      </c>
      <c r="I1211" s="308"/>
      <c r="J1211" s="317">
        <f>J1208</f>
        <v>1550</v>
      </c>
      <c r="K1211" s="317" t="str">
        <f>K1208</f>
        <v>mm id</v>
      </c>
      <c r="L1211" s="367" t="str">
        <f t="shared" si="912"/>
        <v>1550 mm id</v>
      </c>
      <c r="M1211" s="319">
        <v>1</v>
      </c>
      <c r="N1211" s="271" t="s">
        <v>81</v>
      </c>
      <c r="O1211" s="272">
        <v>1</v>
      </c>
      <c r="P1211" s="296" t="s">
        <v>81</v>
      </c>
      <c r="Q1211" s="273">
        <v>1</v>
      </c>
      <c r="R1211" s="271" t="s">
        <v>41</v>
      </c>
      <c r="S1211" s="290">
        <f t="shared" si="913"/>
        <v>1</v>
      </c>
      <c r="T1211" s="275"/>
      <c r="U1211" s="290">
        <f t="shared" si="886"/>
        <v>1</v>
      </c>
      <c r="V1211" s="276" t="s">
        <v>42</v>
      </c>
    </row>
    <row r="1212" spans="1:22" s="172" customFormat="1" ht="20.25" customHeight="1">
      <c r="A1212" s="263">
        <f t="shared" si="880"/>
        <v>1201</v>
      </c>
      <c r="B1212" s="263" t="s">
        <v>1263</v>
      </c>
      <c r="C1212" s="264">
        <f t="shared" si="834"/>
        <v>1201</v>
      </c>
      <c r="D1212" s="265" t="s">
        <v>1749</v>
      </c>
      <c r="E1212" s="279">
        <f>C1209</f>
        <v>1198</v>
      </c>
      <c r="F1212" s="267"/>
      <c r="G1212" s="267"/>
      <c r="H1212" s="268"/>
      <c r="I1212" s="268"/>
      <c r="J1212" s="269"/>
      <c r="K1212" s="269"/>
      <c r="L1212" s="269"/>
      <c r="M1212" s="319"/>
      <c r="N1212" s="271"/>
      <c r="O1212" s="280"/>
      <c r="P1212" s="271"/>
      <c r="Q1212" s="281"/>
      <c r="R1212" s="271"/>
      <c r="S1212" s="312"/>
      <c r="T1212" s="282"/>
      <c r="U1212" s="312"/>
      <c r="V1212" s="276"/>
    </row>
    <row r="1213" spans="1:22" s="172" customFormat="1" ht="20.25" customHeight="1">
      <c r="A1213" s="263" t="str">
        <f t="shared" si="880"/>
        <v/>
      </c>
      <c r="B1213" s="263"/>
      <c r="C1213" s="264">
        <f t="shared" si="834"/>
        <v>1202</v>
      </c>
      <c r="D1213" s="277" t="s">
        <v>1750</v>
      </c>
      <c r="E1213" s="293">
        <f t="shared" ref="E1213:E1214" si="914">C1212</f>
        <v>1201</v>
      </c>
      <c r="F1213" s="267" t="s">
        <v>44</v>
      </c>
      <c r="G1213" s="267"/>
      <c r="H1213" s="308">
        <f>H1211</f>
        <v>50</v>
      </c>
      <c r="I1213" s="308"/>
      <c r="J1213" s="317">
        <f>J1211</f>
        <v>1550</v>
      </c>
      <c r="K1213" s="317" t="str">
        <f>K1211</f>
        <v>mm id</v>
      </c>
      <c r="L1213" s="367" t="str">
        <f t="shared" si="912"/>
        <v>1550 mm id</v>
      </c>
      <c r="M1213" s="319">
        <v>1</v>
      </c>
      <c r="N1213" s="271" t="s">
        <v>81</v>
      </c>
      <c r="O1213" s="272">
        <v>1</v>
      </c>
      <c r="P1213" s="296" t="s">
        <v>81</v>
      </c>
      <c r="Q1213" s="273">
        <v>4</v>
      </c>
      <c r="R1213" s="271" t="s">
        <v>595</v>
      </c>
      <c r="S1213" s="290">
        <f t="shared" ref="S1213:S1214" si="915">O1213*Q1213</f>
        <v>4</v>
      </c>
      <c r="T1213" s="275"/>
      <c r="U1213" s="290">
        <f t="shared" si="886"/>
        <v>4</v>
      </c>
      <c r="V1213" s="276" t="s">
        <v>48</v>
      </c>
    </row>
    <row r="1214" spans="1:22" s="172" customFormat="1" ht="20.25" customHeight="1">
      <c r="A1214" s="263" t="str">
        <f t="shared" si="880"/>
        <v/>
      </c>
      <c r="B1214" s="263"/>
      <c r="C1214" s="264">
        <f t="shared" si="834"/>
        <v>1203</v>
      </c>
      <c r="D1214" s="277" t="s">
        <v>1749</v>
      </c>
      <c r="E1214" s="293">
        <f t="shared" si="914"/>
        <v>1202</v>
      </c>
      <c r="F1214" s="267" t="s">
        <v>52</v>
      </c>
      <c r="G1214" s="267"/>
      <c r="H1214" s="308">
        <f>H1211</f>
        <v>50</v>
      </c>
      <c r="I1214" s="308"/>
      <c r="J1214" s="317">
        <f>J1211</f>
        <v>1550</v>
      </c>
      <c r="K1214" s="317" t="str">
        <f>K1211</f>
        <v>mm id</v>
      </c>
      <c r="L1214" s="367" t="str">
        <f t="shared" si="912"/>
        <v>1550 mm id</v>
      </c>
      <c r="M1214" s="319">
        <v>1</v>
      </c>
      <c r="N1214" s="271" t="s">
        <v>81</v>
      </c>
      <c r="O1214" s="297">
        <f>LEFT(L1214,SEARCH(" ",L1214,1)-1)*1.28*3.142/1000</f>
        <v>6.2337280000000002</v>
      </c>
      <c r="P1214" s="271" t="s">
        <v>249</v>
      </c>
      <c r="Q1214" s="324">
        <f>VLOOKUP(H1214,BM!$B$3:$Y$62,2,FALSE)</f>
        <v>0.1</v>
      </c>
      <c r="R1214" s="271" t="s">
        <v>112</v>
      </c>
      <c r="S1214" s="290">
        <f t="shared" si="915"/>
        <v>0.62337280000000006</v>
      </c>
      <c r="T1214" s="275">
        <v>2</v>
      </c>
      <c r="U1214" s="290">
        <f t="shared" si="886"/>
        <v>2.62</v>
      </c>
      <c r="V1214" s="276" t="s">
        <v>48</v>
      </c>
    </row>
    <row r="1215" spans="1:22" s="172" customFormat="1" ht="20.25" customHeight="1">
      <c r="A1215" s="263">
        <f t="shared" si="880"/>
        <v>1204</v>
      </c>
      <c r="B1215" s="263" t="s">
        <v>1263</v>
      </c>
      <c r="C1215" s="264">
        <f t="shared" si="834"/>
        <v>1204</v>
      </c>
      <c r="D1215" s="265" t="s">
        <v>1751</v>
      </c>
      <c r="E1215" s="279">
        <f>C1212</f>
        <v>1201</v>
      </c>
      <c r="F1215" s="267"/>
      <c r="G1215" s="267"/>
      <c r="H1215" s="268"/>
      <c r="I1215" s="268"/>
      <c r="J1215" s="269"/>
      <c r="K1215" s="269"/>
      <c r="L1215" s="269"/>
      <c r="M1215" s="319"/>
      <c r="N1215" s="271"/>
      <c r="O1215" s="280"/>
      <c r="P1215" s="271"/>
      <c r="Q1215" s="281"/>
      <c r="R1215" s="271"/>
      <c r="S1215" s="312"/>
      <c r="T1215" s="282"/>
      <c r="U1215" s="312"/>
      <c r="V1215" s="276"/>
    </row>
    <row r="1216" spans="1:22" s="172" customFormat="1" ht="20.25" customHeight="1">
      <c r="A1216" s="263" t="str">
        <f t="shared" si="880"/>
        <v/>
      </c>
      <c r="B1216" s="263"/>
      <c r="C1216" s="264">
        <f t="shared" si="834"/>
        <v>1205</v>
      </c>
      <c r="D1216" s="277" t="s">
        <v>1752</v>
      </c>
      <c r="E1216" s="293">
        <f t="shared" ref="E1216" si="916">C1215</f>
        <v>1204</v>
      </c>
      <c r="F1216" s="267" t="s">
        <v>121</v>
      </c>
      <c r="G1216" s="267"/>
      <c r="H1216" s="315">
        <v>25</v>
      </c>
      <c r="I1216" s="315"/>
      <c r="J1216" s="317">
        <f>J1214</f>
        <v>1550</v>
      </c>
      <c r="K1216" s="317" t="str">
        <f>K1214</f>
        <v>mm id</v>
      </c>
      <c r="L1216" s="367" t="str">
        <f t="shared" si="912"/>
        <v>1550 mm id</v>
      </c>
      <c r="M1216" s="319">
        <v>1</v>
      </c>
      <c r="N1216" s="271" t="s">
        <v>81</v>
      </c>
      <c r="O1216" s="297">
        <f>LEFT(L1216,SEARCH(" ",L1216,1)-1)*1.28*3.142/1000</f>
        <v>6.2337280000000002</v>
      </c>
      <c r="P1216" s="271" t="s">
        <v>249</v>
      </c>
      <c r="Q1216" s="324">
        <f>VLOOKUP(H1216,BM!$B$3:$Y$62,6,FALSE)</f>
        <v>1</v>
      </c>
      <c r="R1216" s="271" t="s">
        <v>112</v>
      </c>
      <c r="S1216" s="290">
        <f t="shared" ref="S1216" si="917">O1216*Q1216</f>
        <v>6.2337280000000002</v>
      </c>
      <c r="T1216" s="275">
        <v>2</v>
      </c>
      <c r="U1216" s="290">
        <f t="shared" si="886"/>
        <v>8.23</v>
      </c>
      <c r="V1216" s="276" t="s">
        <v>48</v>
      </c>
    </row>
    <row r="1217" spans="1:22" s="172" customFormat="1" ht="20.25" customHeight="1">
      <c r="A1217" s="263">
        <f t="shared" si="880"/>
        <v>1206</v>
      </c>
      <c r="B1217" s="263" t="s">
        <v>1263</v>
      </c>
      <c r="C1217" s="264">
        <f t="shared" si="834"/>
        <v>1206</v>
      </c>
      <c r="D1217" s="265" t="s">
        <v>1753</v>
      </c>
      <c r="E1217" s="279"/>
      <c r="F1217" s="267"/>
      <c r="G1217" s="267"/>
      <c r="H1217" s="268"/>
      <c r="I1217" s="268"/>
      <c r="J1217" s="269"/>
      <c r="K1217" s="269"/>
      <c r="L1217" s="269"/>
      <c r="M1217" s="319"/>
      <c r="N1217" s="271"/>
      <c r="O1217" s="280"/>
      <c r="P1217" s="271"/>
      <c r="Q1217" s="281"/>
      <c r="R1217" s="271"/>
      <c r="S1217" s="312"/>
      <c r="T1217" s="282"/>
      <c r="U1217" s="312"/>
      <c r="V1217" s="276"/>
    </row>
    <row r="1218" spans="1:22" s="172" customFormat="1" ht="20.25" customHeight="1">
      <c r="A1218" s="263" t="str">
        <f t="shared" si="880"/>
        <v/>
      </c>
      <c r="B1218" s="263"/>
      <c r="C1218" s="264">
        <f t="shared" si="834"/>
        <v>1207</v>
      </c>
      <c r="D1218" s="277" t="s">
        <v>1753</v>
      </c>
      <c r="E1218" s="293">
        <f t="shared" ref="E1218" si="918">C1217</f>
        <v>1206</v>
      </c>
      <c r="F1218" s="267" t="s">
        <v>111</v>
      </c>
      <c r="G1218" s="267"/>
      <c r="H1218" s="308">
        <f>H1216</f>
        <v>25</v>
      </c>
      <c r="I1218" s="308"/>
      <c r="J1218" s="317">
        <f>J1216</f>
        <v>1550</v>
      </c>
      <c r="K1218" s="317" t="str">
        <f>K1216</f>
        <v>mm id</v>
      </c>
      <c r="L1218" s="367" t="str">
        <f t="shared" si="912"/>
        <v>1550 mm id</v>
      </c>
      <c r="M1218" s="319">
        <v>1</v>
      </c>
      <c r="N1218" s="271" t="s">
        <v>81</v>
      </c>
      <c r="O1218" s="297">
        <f>LEFT(L1218,SEARCH(" ",L1218,1)-1)*1.28*3.142/1000</f>
        <v>6.2337280000000002</v>
      </c>
      <c r="P1218" s="271" t="s">
        <v>249</v>
      </c>
      <c r="Q1218" s="324">
        <f>VLOOKUP(H1218,BM!$B$3:$Y$62,15,FALSE)</f>
        <v>1</v>
      </c>
      <c r="R1218" s="271" t="s">
        <v>112</v>
      </c>
      <c r="S1218" s="290">
        <f t="shared" ref="S1218" si="919">O1218*Q1218</f>
        <v>6.2337280000000002</v>
      </c>
      <c r="T1218" s="275">
        <v>2</v>
      </c>
      <c r="U1218" s="290">
        <f t="shared" si="886"/>
        <v>8.23</v>
      </c>
      <c r="V1218" s="276" t="s">
        <v>48</v>
      </c>
    </row>
    <row r="1219" spans="1:22" s="172" customFormat="1" ht="20.25" customHeight="1">
      <c r="A1219" s="263">
        <f t="shared" si="880"/>
        <v>1208</v>
      </c>
      <c r="B1219" s="263" t="s">
        <v>1263</v>
      </c>
      <c r="C1219" s="264">
        <f t="shared" si="834"/>
        <v>1208</v>
      </c>
      <c r="D1219" s="265" t="s">
        <v>1754</v>
      </c>
      <c r="E1219" s="279">
        <f>C1217</f>
        <v>1206</v>
      </c>
      <c r="F1219" s="267"/>
      <c r="G1219" s="267"/>
      <c r="H1219" s="268"/>
      <c r="I1219" s="268"/>
      <c r="J1219" s="269"/>
      <c r="K1219" s="269"/>
      <c r="L1219" s="269"/>
      <c r="M1219" s="319"/>
      <c r="N1219" s="271"/>
      <c r="O1219" s="280"/>
      <c r="P1219" s="271"/>
      <c r="Q1219" s="281"/>
      <c r="R1219" s="271"/>
      <c r="S1219" s="312"/>
      <c r="T1219" s="282"/>
      <c r="U1219" s="312"/>
      <c r="V1219" s="276"/>
    </row>
    <row r="1220" spans="1:22" s="172" customFormat="1" ht="20.25" customHeight="1">
      <c r="A1220" s="263" t="str">
        <f t="shared" si="880"/>
        <v/>
      </c>
      <c r="B1220" s="263"/>
      <c r="C1220" s="264">
        <f t="shared" si="834"/>
        <v>1209</v>
      </c>
      <c r="D1220" s="277" t="s">
        <v>1754</v>
      </c>
      <c r="E1220" s="293"/>
      <c r="F1220" s="267" t="s">
        <v>115</v>
      </c>
      <c r="G1220" s="267"/>
      <c r="H1220" s="316">
        <v>30</v>
      </c>
      <c r="I1220" s="316"/>
      <c r="J1220" s="317">
        <f>J1218</f>
        <v>1550</v>
      </c>
      <c r="K1220" s="317" t="str">
        <f>K1218</f>
        <v>mm id</v>
      </c>
      <c r="L1220" s="367" t="str">
        <f t="shared" si="912"/>
        <v>1550 mm id</v>
      </c>
      <c r="M1220" s="319">
        <v>1</v>
      </c>
      <c r="N1220" s="271" t="s">
        <v>81</v>
      </c>
      <c r="O1220" s="297">
        <f>LEFT(L1220,SEARCH(" ",L1220,1)-1)*1.28*3.142/1000</f>
        <v>6.2337280000000002</v>
      </c>
      <c r="P1220" s="271" t="s">
        <v>249</v>
      </c>
      <c r="Q1220" s="324">
        <f>VLOOKUP(H1220,BM!$B$3:$Y$62,23,FALSE)</f>
        <v>16.8</v>
      </c>
      <c r="R1220" s="271" t="s">
        <v>112</v>
      </c>
      <c r="S1220" s="290">
        <f t="shared" ref="S1220:S1224" si="920">O1220*Q1220</f>
        <v>104.7266304</v>
      </c>
      <c r="T1220" s="275">
        <v>2</v>
      </c>
      <c r="U1220" s="290">
        <f t="shared" si="886"/>
        <v>106.73</v>
      </c>
      <c r="V1220" s="276" t="s">
        <v>48</v>
      </c>
    </row>
    <row r="1221" spans="1:22" s="172" customFormat="1" ht="20.25" customHeight="1">
      <c r="A1221" s="263" t="str">
        <f t="shared" si="880"/>
        <v/>
      </c>
      <c r="B1221" s="263"/>
      <c r="C1221" s="264">
        <f t="shared" ref="C1221:C1284" si="921">C1220+1</f>
        <v>1210</v>
      </c>
      <c r="D1221" s="277" t="s">
        <v>1755</v>
      </c>
      <c r="E1221" s="293">
        <f t="shared" ref="E1221:E1224" si="922">C1220</f>
        <v>1209</v>
      </c>
      <c r="F1221" s="267" t="s">
        <v>299</v>
      </c>
      <c r="G1221" s="267"/>
      <c r="H1221" s="316">
        <v>16</v>
      </c>
      <c r="I1221" s="316"/>
      <c r="J1221" s="317">
        <f>J1220</f>
        <v>1550</v>
      </c>
      <c r="K1221" s="317" t="str">
        <f>K1220</f>
        <v>mm id</v>
      </c>
      <c r="L1221" s="367" t="str">
        <f t="shared" si="912"/>
        <v>1550 mm id</v>
      </c>
      <c r="M1221" s="319">
        <v>1</v>
      </c>
      <c r="N1221" s="271" t="s">
        <v>81</v>
      </c>
      <c r="O1221" s="272">
        <v>1</v>
      </c>
      <c r="P1221" s="296" t="s">
        <v>81</v>
      </c>
      <c r="Q1221" s="273">
        <v>4</v>
      </c>
      <c r="R1221" s="271" t="s">
        <v>112</v>
      </c>
      <c r="S1221" s="290">
        <f t="shared" si="920"/>
        <v>4</v>
      </c>
      <c r="T1221" s="275">
        <v>1</v>
      </c>
      <c r="U1221" s="290">
        <f t="shared" si="886"/>
        <v>5</v>
      </c>
      <c r="V1221" s="276" t="s">
        <v>48</v>
      </c>
    </row>
    <row r="1222" spans="1:22" s="172" customFormat="1" ht="20.25" customHeight="1">
      <c r="A1222" s="263" t="str">
        <f t="shared" si="880"/>
        <v/>
      </c>
      <c r="B1222" s="263"/>
      <c r="C1222" s="264">
        <f t="shared" si="921"/>
        <v>1211</v>
      </c>
      <c r="D1222" s="277" t="s">
        <v>1756</v>
      </c>
      <c r="E1222" s="293">
        <f t="shared" si="922"/>
        <v>1210</v>
      </c>
      <c r="F1222" s="267" t="s">
        <v>115</v>
      </c>
      <c r="G1222" s="267"/>
      <c r="H1222" s="316">
        <v>16</v>
      </c>
      <c r="I1222" s="316"/>
      <c r="J1222" s="316">
        <v>3000</v>
      </c>
      <c r="K1222" s="322" t="s">
        <v>1831</v>
      </c>
      <c r="L1222" s="367" t="str">
        <f t="shared" si="912"/>
        <v>3000 mm</v>
      </c>
      <c r="M1222" s="319">
        <v>1</v>
      </c>
      <c r="N1222" s="271" t="s">
        <v>81</v>
      </c>
      <c r="O1222" s="297">
        <f>LEFT(L1222,SEARCH(" ",L1222,1)-1)/1000</f>
        <v>3</v>
      </c>
      <c r="P1222" s="271" t="s">
        <v>249</v>
      </c>
      <c r="Q1222" s="324">
        <f>VLOOKUP(H1222,BM!$B$3:$Y$62,22,FALSE)</f>
        <v>2.8</v>
      </c>
      <c r="R1222" s="271" t="s">
        <v>112</v>
      </c>
      <c r="S1222" s="290">
        <f t="shared" si="920"/>
        <v>8.3999999999999986</v>
      </c>
      <c r="T1222" s="275">
        <v>2</v>
      </c>
      <c r="U1222" s="290">
        <f t="shared" si="886"/>
        <v>10.4</v>
      </c>
      <c r="V1222" s="276" t="s">
        <v>48</v>
      </c>
    </row>
    <row r="1223" spans="1:22" s="172" customFormat="1" ht="20.25" customHeight="1">
      <c r="A1223" s="263" t="str">
        <f t="shared" si="880"/>
        <v/>
      </c>
      <c r="B1223" s="263"/>
      <c r="C1223" s="264">
        <f t="shared" si="921"/>
        <v>1212</v>
      </c>
      <c r="D1223" s="277" t="s">
        <v>1757</v>
      </c>
      <c r="E1223" s="293">
        <f t="shared" si="922"/>
        <v>1211</v>
      </c>
      <c r="F1223" s="267" t="s">
        <v>44</v>
      </c>
      <c r="G1223" s="267"/>
      <c r="H1223" s="316">
        <v>16</v>
      </c>
      <c r="I1223" s="316"/>
      <c r="J1223" s="317">
        <f>J1222</f>
        <v>3000</v>
      </c>
      <c r="K1223" s="317" t="str">
        <f>K1222</f>
        <v>mm</v>
      </c>
      <c r="L1223" s="367" t="str">
        <f>J1223&amp;" "&amp;K1223</f>
        <v>3000 mm</v>
      </c>
      <c r="M1223" s="319">
        <v>1</v>
      </c>
      <c r="N1223" s="271" t="s">
        <v>81</v>
      </c>
      <c r="O1223" s="272">
        <v>1</v>
      </c>
      <c r="P1223" s="296" t="s">
        <v>81</v>
      </c>
      <c r="Q1223" s="273">
        <v>6</v>
      </c>
      <c r="R1223" s="271" t="s">
        <v>112</v>
      </c>
      <c r="S1223" s="290">
        <f t="shared" si="920"/>
        <v>6</v>
      </c>
      <c r="T1223" s="275">
        <v>1</v>
      </c>
      <c r="U1223" s="290">
        <f t="shared" si="886"/>
        <v>7</v>
      </c>
      <c r="V1223" s="276" t="s">
        <v>48</v>
      </c>
    </row>
    <row r="1224" spans="1:22" s="172" customFormat="1" ht="20.25" customHeight="1">
      <c r="A1224" s="263" t="str">
        <f t="shared" si="880"/>
        <v/>
      </c>
      <c r="B1224" s="263"/>
      <c r="C1224" s="264">
        <f t="shared" si="921"/>
        <v>1213</v>
      </c>
      <c r="D1224" s="277" t="s">
        <v>1758</v>
      </c>
      <c r="E1224" s="293">
        <f t="shared" si="922"/>
        <v>1212</v>
      </c>
      <c r="F1224" s="267" t="s">
        <v>63</v>
      </c>
      <c r="G1224" s="267"/>
      <c r="H1224" s="316">
        <v>16</v>
      </c>
      <c r="I1224" s="316"/>
      <c r="J1224" s="317">
        <f>J1223</f>
        <v>3000</v>
      </c>
      <c r="K1224" s="317" t="str">
        <f>K1223</f>
        <v>mm</v>
      </c>
      <c r="L1224" s="367" t="str">
        <f>J1224&amp;" "&amp;K1224</f>
        <v>3000 mm</v>
      </c>
      <c r="M1224" s="319">
        <v>1</v>
      </c>
      <c r="N1224" s="271" t="s">
        <v>81</v>
      </c>
      <c r="O1224" s="272">
        <v>1</v>
      </c>
      <c r="P1224" s="296" t="s">
        <v>81</v>
      </c>
      <c r="Q1224" s="273">
        <v>1</v>
      </c>
      <c r="R1224" s="271" t="s">
        <v>112</v>
      </c>
      <c r="S1224" s="290">
        <f t="shared" si="920"/>
        <v>1</v>
      </c>
      <c r="T1224" s="275">
        <v>1</v>
      </c>
      <c r="U1224" s="290">
        <f t="shared" si="886"/>
        <v>2</v>
      </c>
      <c r="V1224" s="276" t="s">
        <v>48</v>
      </c>
    </row>
    <row r="1225" spans="1:22" s="172" customFormat="1" ht="20.25" customHeight="1">
      <c r="A1225" s="263">
        <f t="shared" si="880"/>
        <v>1214</v>
      </c>
      <c r="B1225" s="263" t="s">
        <v>1263</v>
      </c>
      <c r="C1225" s="264">
        <f t="shared" si="921"/>
        <v>1214</v>
      </c>
      <c r="D1225" s="265" t="s">
        <v>1759</v>
      </c>
      <c r="E1225" s="279">
        <f>C1219</f>
        <v>1208</v>
      </c>
      <c r="F1225" s="267"/>
      <c r="G1225" s="267"/>
      <c r="H1225" s="268"/>
      <c r="I1225" s="268"/>
      <c r="J1225" s="269"/>
      <c r="K1225" s="269"/>
      <c r="L1225" s="269"/>
      <c r="M1225" s="319"/>
      <c r="N1225" s="271"/>
      <c r="O1225" s="280"/>
      <c r="P1225" s="271"/>
      <c r="Q1225" s="281"/>
      <c r="R1225" s="271"/>
      <c r="S1225" s="312"/>
      <c r="T1225" s="282"/>
      <c r="U1225" s="312"/>
      <c r="V1225" s="276"/>
    </row>
    <row r="1226" spans="1:22" s="172" customFormat="1" ht="20.25" customHeight="1">
      <c r="A1226" s="263" t="str">
        <f t="shared" si="880"/>
        <v/>
      </c>
      <c r="B1226" s="263"/>
      <c r="C1226" s="264">
        <f t="shared" si="921"/>
        <v>1215</v>
      </c>
      <c r="D1226" s="277" t="s">
        <v>1760</v>
      </c>
      <c r="E1226" s="293"/>
      <c r="F1226" s="267" t="s">
        <v>55</v>
      </c>
      <c r="G1226" s="267"/>
      <c r="H1226" s="268"/>
      <c r="I1226" s="268"/>
      <c r="J1226" s="317">
        <f>J1221</f>
        <v>1550</v>
      </c>
      <c r="K1226" s="317" t="str">
        <f>K1221</f>
        <v>mm id</v>
      </c>
      <c r="L1226" s="367" t="str">
        <f>J1226&amp;" "&amp;K1226</f>
        <v>1550 mm id</v>
      </c>
      <c r="M1226" s="319">
        <v>1</v>
      </c>
      <c r="N1226" s="271" t="s">
        <v>81</v>
      </c>
      <c r="O1226" s="272">
        <v>1</v>
      </c>
      <c r="P1226" s="296" t="s">
        <v>81</v>
      </c>
      <c r="Q1226" s="273">
        <v>3</v>
      </c>
      <c r="R1226" s="271" t="s">
        <v>41</v>
      </c>
      <c r="S1226" s="290">
        <f t="shared" ref="S1226:S1230" si="923">O1226*Q1226</f>
        <v>3</v>
      </c>
      <c r="T1226" s="275">
        <v>0</v>
      </c>
      <c r="U1226" s="290">
        <f t="shared" si="886"/>
        <v>3</v>
      </c>
      <c r="V1226" s="276" t="s">
        <v>48</v>
      </c>
    </row>
    <row r="1227" spans="1:22" s="172" customFormat="1" ht="20.25" customHeight="1">
      <c r="A1227" s="263" t="str">
        <f t="shared" si="880"/>
        <v/>
      </c>
      <c r="B1227" s="263"/>
      <c r="C1227" s="264">
        <f t="shared" si="921"/>
        <v>1216</v>
      </c>
      <c r="D1227" s="277" t="s">
        <v>1761</v>
      </c>
      <c r="E1227" s="293">
        <f t="shared" ref="E1227:E1230" si="924">C1226</f>
        <v>1215</v>
      </c>
      <c r="F1227" s="267" t="s">
        <v>55</v>
      </c>
      <c r="G1227" s="267"/>
      <c r="H1227" s="268"/>
      <c r="I1227" s="268"/>
      <c r="J1227" s="317">
        <f>J1226</f>
        <v>1550</v>
      </c>
      <c r="K1227" s="317" t="str">
        <f>K1226</f>
        <v>mm id</v>
      </c>
      <c r="L1227" s="367" t="str">
        <f>J1227&amp;" "&amp;K1227</f>
        <v>1550 mm id</v>
      </c>
      <c r="M1227" s="319">
        <v>1</v>
      </c>
      <c r="N1227" s="271" t="s">
        <v>81</v>
      </c>
      <c r="O1227" s="272">
        <v>1</v>
      </c>
      <c r="P1227" s="296" t="s">
        <v>81</v>
      </c>
      <c r="Q1227" s="273">
        <v>4</v>
      </c>
      <c r="R1227" s="271" t="s">
        <v>41</v>
      </c>
      <c r="S1227" s="290">
        <f t="shared" si="923"/>
        <v>4</v>
      </c>
      <c r="T1227" s="275">
        <v>0</v>
      </c>
      <c r="U1227" s="290">
        <f t="shared" si="886"/>
        <v>4</v>
      </c>
      <c r="V1227" s="276" t="s">
        <v>48</v>
      </c>
    </row>
    <row r="1228" spans="1:22" s="172" customFormat="1" ht="20.25" customHeight="1">
      <c r="A1228" s="263" t="str">
        <f t="shared" si="880"/>
        <v/>
      </c>
      <c r="B1228" s="263"/>
      <c r="C1228" s="264">
        <f t="shared" si="921"/>
        <v>1217</v>
      </c>
      <c r="D1228" s="277" t="s">
        <v>1762</v>
      </c>
      <c r="E1228" s="293">
        <f t="shared" si="924"/>
        <v>1216</v>
      </c>
      <c r="F1228" s="267" t="s">
        <v>44</v>
      </c>
      <c r="G1228" s="267"/>
      <c r="H1228" s="268"/>
      <c r="I1228" s="268"/>
      <c r="J1228" s="317">
        <f>J1227</f>
        <v>1550</v>
      </c>
      <c r="K1228" s="317" t="str">
        <f>K1227</f>
        <v>mm id</v>
      </c>
      <c r="L1228" s="367" t="str">
        <f>J1228&amp;" "&amp;K1228</f>
        <v>1550 mm id</v>
      </c>
      <c r="M1228" s="319">
        <v>1</v>
      </c>
      <c r="N1228" s="271" t="s">
        <v>81</v>
      </c>
      <c r="O1228" s="272">
        <v>1</v>
      </c>
      <c r="P1228" s="296" t="s">
        <v>81</v>
      </c>
      <c r="Q1228" s="273">
        <v>0.5</v>
      </c>
      <c r="R1228" s="271" t="s">
        <v>41</v>
      </c>
      <c r="S1228" s="290">
        <f t="shared" si="923"/>
        <v>0.5</v>
      </c>
      <c r="T1228" s="275">
        <v>0</v>
      </c>
      <c r="U1228" s="290">
        <f t="shared" si="886"/>
        <v>0.5</v>
      </c>
      <c r="V1228" s="276" t="s">
        <v>48</v>
      </c>
    </row>
    <row r="1229" spans="1:22" s="172" customFormat="1" ht="20.25" customHeight="1">
      <c r="A1229" s="263" t="str">
        <f t="shared" si="880"/>
        <v/>
      </c>
      <c r="B1229" s="263"/>
      <c r="C1229" s="264">
        <f t="shared" si="921"/>
        <v>1218</v>
      </c>
      <c r="D1229" s="277" t="s">
        <v>1763</v>
      </c>
      <c r="E1229" s="293">
        <f t="shared" si="924"/>
        <v>1217</v>
      </c>
      <c r="F1229" s="267" t="s">
        <v>55</v>
      </c>
      <c r="G1229" s="267"/>
      <c r="H1229" s="316">
        <v>140</v>
      </c>
      <c r="I1229" s="322" t="s">
        <v>1831</v>
      </c>
      <c r="J1229" s="317">
        <f>J1228</f>
        <v>1550</v>
      </c>
      <c r="K1229" s="317" t="str">
        <f>K1228</f>
        <v>mm id</v>
      </c>
      <c r="L1229" s="367" t="str">
        <f>J1229&amp;" "&amp;K1229</f>
        <v>1550 mm id</v>
      </c>
      <c r="M1229" s="319">
        <v>72</v>
      </c>
      <c r="N1229" s="296" t="s">
        <v>1275</v>
      </c>
      <c r="O1229" s="272">
        <v>1</v>
      </c>
      <c r="P1229" s="296" t="s">
        <v>81</v>
      </c>
      <c r="Q1229" s="273">
        <v>4</v>
      </c>
      <c r="R1229" s="271" t="s">
        <v>41</v>
      </c>
      <c r="S1229" s="290">
        <f t="shared" si="923"/>
        <v>4</v>
      </c>
      <c r="T1229" s="275">
        <v>0</v>
      </c>
      <c r="U1229" s="290">
        <f t="shared" si="886"/>
        <v>4</v>
      </c>
      <c r="V1229" s="276" t="s">
        <v>48</v>
      </c>
    </row>
    <row r="1230" spans="1:22" s="172" customFormat="1" ht="20.25" customHeight="1">
      <c r="A1230" s="263" t="str">
        <f t="shared" si="880"/>
        <v/>
      </c>
      <c r="B1230" s="263"/>
      <c r="C1230" s="264">
        <f t="shared" si="921"/>
        <v>1219</v>
      </c>
      <c r="D1230" s="277" t="s">
        <v>1764</v>
      </c>
      <c r="E1230" s="293">
        <f t="shared" si="924"/>
        <v>1218</v>
      </c>
      <c r="F1230" s="267" t="s">
        <v>44</v>
      </c>
      <c r="G1230" s="267"/>
      <c r="H1230" s="316">
        <v>140</v>
      </c>
      <c r="I1230" s="322" t="s">
        <v>1831</v>
      </c>
      <c r="J1230" s="317">
        <f>J1229</f>
        <v>1550</v>
      </c>
      <c r="K1230" s="317" t="str">
        <f>K1229</f>
        <v>mm id</v>
      </c>
      <c r="L1230" s="367" t="str">
        <f>J1230&amp;" "&amp;K1230</f>
        <v>1550 mm id</v>
      </c>
      <c r="M1230" s="319">
        <v>1</v>
      </c>
      <c r="N1230" s="296" t="s">
        <v>81</v>
      </c>
      <c r="O1230" s="272">
        <v>1</v>
      </c>
      <c r="P1230" s="296" t="s">
        <v>81</v>
      </c>
      <c r="Q1230" s="273">
        <v>1</v>
      </c>
      <c r="R1230" s="271" t="s">
        <v>41</v>
      </c>
      <c r="S1230" s="290">
        <f t="shared" si="923"/>
        <v>1</v>
      </c>
      <c r="T1230" s="275">
        <v>0</v>
      </c>
      <c r="U1230" s="290">
        <f t="shared" si="886"/>
        <v>1</v>
      </c>
      <c r="V1230" s="276" t="s">
        <v>48</v>
      </c>
    </row>
    <row r="1231" spans="1:22" s="172" customFormat="1" ht="20.25" customHeight="1">
      <c r="A1231" s="263">
        <f t="shared" si="880"/>
        <v>1220</v>
      </c>
      <c r="B1231" s="263" t="s">
        <v>1263</v>
      </c>
      <c r="C1231" s="264">
        <f t="shared" si="921"/>
        <v>1220</v>
      </c>
      <c r="D1231" s="265" t="s">
        <v>1765</v>
      </c>
      <c r="E1231" s="279"/>
      <c r="F1231" s="267"/>
      <c r="G1231" s="267"/>
      <c r="H1231" s="268"/>
      <c r="I1231" s="268"/>
      <c r="J1231" s="269"/>
      <c r="K1231" s="269"/>
      <c r="L1231" s="269"/>
      <c r="M1231" s="319"/>
      <c r="N1231" s="271"/>
      <c r="O1231" s="280"/>
      <c r="P1231" s="271"/>
      <c r="Q1231" s="281"/>
      <c r="R1231" s="271"/>
      <c r="S1231" s="312"/>
      <c r="T1231" s="282"/>
      <c r="U1231" s="312"/>
      <c r="V1231" s="276"/>
    </row>
    <row r="1232" spans="1:22" s="172" customFormat="1" ht="20.25" customHeight="1">
      <c r="A1232" s="263">
        <f t="shared" si="880"/>
        <v>1221</v>
      </c>
      <c r="B1232" s="263" t="s">
        <v>1263</v>
      </c>
      <c r="C1232" s="264">
        <f t="shared" si="921"/>
        <v>1221</v>
      </c>
      <c r="D1232" s="265" t="s">
        <v>1766</v>
      </c>
      <c r="E1232" s="279"/>
      <c r="F1232" s="267"/>
      <c r="G1232" s="267"/>
      <c r="H1232" s="268"/>
      <c r="I1232" s="268"/>
      <c r="J1232" s="269"/>
      <c r="K1232" s="269"/>
      <c r="L1232" s="269"/>
      <c r="M1232" s="319"/>
      <c r="N1232" s="271"/>
      <c r="O1232" s="280"/>
      <c r="P1232" s="271"/>
      <c r="Q1232" s="281"/>
      <c r="R1232" s="271"/>
      <c r="S1232" s="312"/>
      <c r="T1232" s="282"/>
      <c r="U1232" s="312"/>
      <c r="V1232" s="276"/>
    </row>
    <row r="1233" spans="1:22" s="172" customFormat="1" ht="20.25" customHeight="1">
      <c r="A1233" s="263" t="str">
        <f t="shared" si="880"/>
        <v/>
      </c>
      <c r="B1233" s="263"/>
      <c r="C1233" s="264">
        <f t="shared" si="921"/>
        <v>1222</v>
      </c>
      <c r="D1233" s="277" t="s">
        <v>1767</v>
      </c>
      <c r="E1233" s="293"/>
      <c r="F1233" s="267" t="s">
        <v>616</v>
      </c>
      <c r="G1233" s="267"/>
      <c r="H1233" s="316">
        <v>145</v>
      </c>
      <c r="I1233" s="316"/>
      <c r="J1233" s="316">
        <v>1308</v>
      </c>
      <c r="K1233" s="322" t="s">
        <v>1837</v>
      </c>
      <c r="L1233" s="367" t="str">
        <f t="shared" ref="L1233:L1234" si="925">J1233&amp;" "&amp;K1233</f>
        <v>1308 tube</v>
      </c>
      <c r="M1233" s="319"/>
      <c r="N1233" s="271"/>
      <c r="O1233" s="272">
        <v>1</v>
      </c>
      <c r="P1233" s="271"/>
      <c r="Q1233" s="273">
        <v>1.5</v>
      </c>
      <c r="R1233" s="271" t="s">
        <v>41</v>
      </c>
      <c r="S1233" s="290">
        <f t="shared" ref="S1233:S1234" si="926">O1233*Q1233</f>
        <v>1.5</v>
      </c>
      <c r="T1233" s="275">
        <v>0</v>
      </c>
      <c r="U1233" s="290">
        <f t="shared" si="886"/>
        <v>1.5</v>
      </c>
      <c r="V1233" s="276" t="s">
        <v>48</v>
      </c>
    </row>
    <row r="1234" spans="1:22" s="172" customFormat="1" ht="20.25" customHeight="1">
      <c r="A1234" s="263" t="str">
        <f t="shared" si="880"/>
        <v/>
      </c>
      <c r="B1234" s="263"/>
      <c r="C1234" s="264">
        <f t="shared" si="921"/>
        <v>1223</v>
      </c>
      <c r="D1234" s="277" t="s">
        <v>1768</v>
      </c>
      <c r="E1234" s="293">
        <f t="shared" ref="E1234" si="927">C1233</f>
        <v>1222</v>
      </c>
      <c r="F1234" s="267" t="s">
        <v>620</v>
      </c>
      <c r="G1234" s="267"/>
      <c r="H1234" s="268"/>
      <c r="I1234" s="268"/>
      <c r="J1234" s="316">
        <v>19</v>
      </c>
      <c r="K1234" s="322" t="s">
        <v>1838</v>
      </c>
      <c r="L1234" s="367" t="str">
        <f t="shared" si="925"/>
        <v>19 baffle</v>
      </c>
      <c r="M1234" s="319">
        <v>1</v>
      </c>
      <c r="N1234" s="271" t="s">
        <v>81</v>
      </c>
      <c r="O1234" s="272">
        <v>19</v>
      </c>
      <c r="P1234" s="271" t="s">
        <v>81</v>
      </c>
      <c r="Q1234" s="273">
        <v>0.5</v>
      </c>
      <c r="R1234" s="271" t="s">
        <v>112</v>
      </c>
      <c r="S1234" s="290">
        <f t="shared" si="926"/>
        <v>9.5</v>
      </c>
      <c r="T1234" s="275">
        <v>1</v>
      </c>
      <c r="U1234" s="290">
        <f t="shared" si="886"/>
        <v>10.5</v>
      </c>
      <c r="V1234" s="276" t="s">
        <v>48</v>
      </c>
    </row>
    <row r="1235" spans="1:22" s="172" customFormat="1" ht="20.25" customHeight="1">
      <c r="A1235" s="263">
        <f t="shared" si="880"/>
        <v>1224</v>
      </c>
      <c r="B1235" s="263" t="s">
        <v>1263</v>
      </c>
      <c r="C1235" s="264">
        <f t="shared" si="921"/>
        <v>1224</v>
      </c>
      <c r="D1235" s="265" t="s">
        <v>1769</v>
      </c>
      <c r="E1235" s="279">
        <f>C1232</f>
        <v>1221</v>
      </c>
      <c r="F1235" s="267"/>
      <c r="G1235" s="267"/>
      <c r="H1235" s="268"/>
      <c r="I1235" s="268"/>
      <c r="J1235" s="269"/>
      <c r="K1235" s="269"/>
      <c r="L1235" s="269"/>
      <c r="M1235" s="319"/>
      <c r="N1235" s="271"/>
      <c r="O1235" s="280"/>
      <c r="P1235" s="271"/>
      <c r="Q1235" s="281"/>
      <c r="R1235" s="271"/>
      <c r="S1235" s="312"/>
      <c r="T1235" s="282"/>
      <c r="U1235" s="312"/>
      <c r="V1235" s="276"/>
    </row>
    <row r="1236" spans="1:22" s="172" customFormat="1" ht="20.25" customHeight="1">
      <c r="A1236" s="263" t="str">
        <f t="shared" si="880"/>
        <v/>
      </c>
      <c r="B1236" s="263"/>
      <c r="C1236" s="264">
        <f t="shared" si="921"/>
        <v>1225</v>
      </c>
      <c r="D1236" s="277" t="s">
        <v>1769</v>
      </c>
      <c r="E1236" s="293"/>
      <c r="F1236" s="267" t="s">
        <v>623</v>
      </c>
      <c r="G1236" s="267"/>
      <c r="H1236" s="316">
        <v>25.4</v>
      </c>
      <c r="I1236" s="322" t="s">
        <v>1847</v>
      </c>
      <c r="J1236" s="316">
        <v>7000</v>
      </c>
      <c r="K1236" s="322" t="s">
        <v>1835</v>
      </c>
      <c r="L1236" s="367" t="str">
        <f t="shared" ref="L1236:L1237" si="928">J1236&amp;" "&amp;K1236</f>
        <v>7000 lg</v>
      </c>
      <c r="M1236" s="319">
        <v>654</v>
      </c>
      <c r="N1236" s="271" t="s">
        <v>81</v>
      </c>
      <c r="O1236" s="327">
        <f>M1236</f>
        <v>654</v>
      </c>
      <c r="P1236" s="271" t="s">
        <v>81</v>
      </c>
      <c r="Q1236" s="324">
        <f>1/60*5</f>
        <v>8.3333333333333329E-2</v>
      </c>
      <c r="R1236" s="271" t="s">
        <v>87</v>
      </c>
      <c r="S1236" s="290">
        <f t="shared" ref="S1236:S1238" si="929">O1236*Q1236</f>
        <v>54.5</v>
      </c>
      <c r="T1236" s="275">
        <v>1</v>
      </c>
      <c r="U1236" s="290">
        <f t="shared" si="886"/>
        <v>55.5</v>
      </c>
      <c r="V1236" s="276" t="s">
        <v>48</v>
      </c>
    </row>
    <row r="1237" spans="1:22" s="172" customFormat="1" ht="20.25" customHeight="1">
      <c r="A1237" s="263" t="str">
        <f t="shared" si="880"/>
        <v/>
      </c>
      <c r="B1237" s="263"/>
      <c r="C1237" s="264">
        <f t="shared" si="921"/>
        <v>1226</v>
      </c>
      <c r="D1237" s="277" t="s">
        <v>1770</v>
      </c>
      <c r="E1237" s="293">
        <f t="shared" ref="E1237:E1238" si="930">C1236</f>
        <v>1225</v>
      </c>
      <c r="F1237" s="267" t="s">
        <v>626</v>
      </c>
      <c r="G1237" s="267"/>
      <c r="H1237" s="316">
        <v>25.4</v>
      </c>
      <c r="I1237" s="322" t="s">
        <v>1847</v>
      </c>
      <c r="J1237" s="316">
        <v>5134</v>
      </c>
      <c r="K1237" s="322" t="s">
        <v>1835</v>
      </c>
      <c r="L1237" s="367" t="str">
        <f t="shared" si="928"/>
        <v>5134 lg</v>
      </c>
      <c r="M1237" s="319">
        <v>14</v>
      </c>
      <c r="N1237" s="271" t="s">
        <v>81</v>
      </c>
      <c r="O1237" s="327">
        <f>M1237</f>
        <v>14</v>
      </c>
      <c r="P1237" s="271" t="s">
        <v>81</v>
      </c>
      <c r="Q1237" s="325">
        <v>0.5</v>
      </c>
      <c r="R1237" s="271" t="s">
        <v>87</v>
      </c>
      <c r="S1237" s="290">
        <f t="shared" si="929"/>
        <v>7</v>
      </c>
      <c r="T1237" s="275">
        <v>1</v>
      </c>
      <c r="U1237" s="290">
        <f t="shared" si="886"/>
        <v>8</v>
      </c>
      <c r="V1237" s="276" t="s">
        <v>48</v>
      </c>
    </row>
    <row r="1238" spans="1:22" s="172" customFormat="1" ht="20.25" customHeight="1">
      <c r="A1238" s="263" t="str">
        <f t="shared" si="880"/>
        <v/>
      </c>
      <c r="B1238" s="263"/>
      <c r="C1238" s="264">
        <f t="shared" si="921"/>
        <v>1227</v>
      </c>
      <c r="D1238" s="277" t="s">
        <v>1769</v>
      </c>
      <c r="E1238" s="293">
        <f t="shared" si="930"/>
        <v>1226</v>
      </c>
      <c r="F1238" s="267" t="s">
        <v>623</v>
      </c>
      <c r="G1238" s="267"/>
      <c r="H1238" s="316">
        <v>25.4</v>
      </c>
      <c r="I1238" s="322" t="s">
        <v>1847</v>
      </c>
      <c r="J1238" s="317">
        <f>J1236</f>
        <v>7000</v>
      </c>
      <c r="K1238" s="317" t="str">
        <f>K1236</f>
        <v>lg</v>
      </c>
      <c r="L1238" s="367" t="str">
        <f>J1238&amp;" "&amp;K1238</f>
        <v>7000 lg</v>
      </c>
      <c r="M1238" s="319">
        <v>654</v>
      </c>
      <c r="N1238" s="271" t="s">
        <v>81</v>
      </c>
      <c r="O1238" s="327">
        <f>M1238</f>
        <v>654</v>
      </c>
      <c r="P1238" s="271" t="s">
        <v>81</v>
      </c>
      <c r="Q1238" s="324">
        <f>1/60*5</f>
        <v>8.3333333333333329E-2</v>
      </c>
      <c r="R1238" s="271" t="s">
        <v>87</v>
      </c>
      <c r="S1238" s="290">
        <f t="shared" si="929"/>
        <v>54.5</v>
      </c>
      <c r="T1238" s="275">
        <v>1</v>
      </c>
      <c r="U1238" s="290">
        <f t="shared" si="886"/>
        <v>55.5</v>
      </c>
      <c r="V1238" s="276" t="s">
        <v>48</v>
      </c>
    </row>
    <row r="1239" spans="1:22" s="172" customFormat="1" ht="20.25" customHeight="1">
      <c r="A1239" s="263">
        <f t="shared" si="880"/>
        <v>1228</v>
      </c>
      <c r="B1239" s="263" t="s">
        <v>1263</v>
      </c>
      <c r="C1239" s="264">
        <f t="shared" si="921"/>
        <v>1228</v>
      </c>
      <c r="D1239" s="265" t="s">
        <v>1771</v>
      </c>
      <c r="E1239" s="279">
        <f>C1235</f>
        <v>1224</v>
      </c>
      <c r="F1239" s="267"/>
      <c r="G1239" s="267"/>
      <c r="H1239" s="268"/>
      <c r="I1239" s="268"/>
      <c r="J1239" s="269"/>
      <c r="K1239" s="269"/>
      <c r="L1239" s="269"/>
      <c r="M1239" s="319"/>
      <c r="N1239" s="271"/>
      <c r="O1239" s="280"/>
      <c r="P1239" s="271"/>
      <c r="Q1239" s="281"/>
      <c r="R1239" s="271"/>
      <c r="S1239" s="312"/>
      <c r="T1239" s="282"/>
      <c r="U1239" s="312"/>
      <c r="V1239" s="276"/>
    </row>
    <row r="1240" spans="1:22" s="172" customFormat="1" ht="20.25" customHeight="1">
      <c r="A1240" s="263" t="str">
        <f t="shared" si="880"/>
        <v/>
      </c>
      <c r="B1240" s="263"/>
      <c r="C1240" s="264">
        <f t="shared" si="921"/>
        <v>1229</v>
      </c>
      <c r="D1240" s="277" t="s">
        <v>1772</v>
      </c>
      <c r="E1240" s="293"/>
      <c r="F1240" s="267" t="s">
        <v>44</v>
      </c>
      <c r="G1240" s="267"/>
      <c r="H1240" s="316">
        <v>8</v>
      </c>
      <c r="I1240" s="316"/>
      <c r="J1240" s="316">
        <v>4592</v>
      </c>
      <c r="K1240" s="322" t="s">
        <v>1839</v>
      </c>
      <c r="L1240" s="367" t="str">
        <f t="shared" ref="L1240:L1241" si="931">J1240&amp;" "&amp;K1240</f>
        <v>4592 mm lg</v>
      </c>
      <c r="M1240" s="319">
        <v>2</v>
      </c>
      <c r="N1240" s="271" t="s">
        <v>81</v>
      </c>
      <c r="O1240" s="272">
        <v>2</v>
      </c>
      <c r="P1240" s="271" t="s">
        <v>81</v>
      </c>
      <c r="Q1240" s="325">
        <v>3</v>
      </c>
      <c r="R1240" s="271" t="s">
        <v>87</v>
      </c>
      <c r="S1240" s="290">
        <f t="shared" ref="S1240:S1242" si="932">O1240*Q1240</f>
        <v>6</v>
      </c>
      <c r="T1240" s="275">
        <v>1</v>
      </c>
      <c r="U1240" s="290">
        <f t="shared" si="886"/>
        <v>7</v>
      </c>
      <c r="V1240" s="276" t="s">
        <v>48</v>
      </c>
    </row>
    <row r="1241" spans="1:22" s="172" customFormat="1" ht="20.25" customHeight="1">
      <c r="A1241" s="263" t="str">
        <f t="shared" si="880"/>
        <v/>
      </c>
      <c r="B1241" s="263"/>
      <c r="C1241" s="264">
        <f t="shared" si="921"/>
        <v>1230</v>
      </c>
      <c r="D1241" s="277" t="s">
        <v>1773</v>
      </c>
      <c r="E1241" s="293">
        <f t="shared" ref="E1241:E1242" si="933">C1240</f>
        <v>1229</v>
      </c>
      <c r="F1241" s="267" t="s">
        <v>115</v>
      </c>
      <c r="G1241" s="267"/>
      <c r="H1241" s="316">
        <v>8</v>
      </c>
      <c r="I1241" s="316"/>
      <c r="J1241" s="316">
        <v>60</v>
      </c>
      <c r="K1241" s="322" t="s">
        <v>1840</v>
      </c>
      <c r="L1241" s="367" t="str">
        <f t="shared" si="931"/>
        <v>60 joints</v>
      </c>
      <c r="M1241" s="319">
        <v>1</v>
      </c>
      <c r="N1241" s="271" t="s">
        <v>84</v>
      </c>
      <c r="O1241" s="297" t="str">
        <f>LEFT(L1241,SEARCH(" ",L1241,1)-1)</f>
        <v>60</v>
      </c>
      <c r="P1241" s="271" t="s">
        <v>633</v>
      </c>
      <c r="Q1241" s="325">
        <v>0.25</v>
      </c>
      <c r="R1241" s="271" t="s">
        <v>87</v>
      </c>
      <c r="S1241" s="290">
        <f t="shared" si="932"/>
        <v>15</v>
      </c>
      <c r="T1241" s="275">
        <v>1</v>
      </c>
      <c r="U1241" s="290">
        <f t="shared" si="886"/>
        <v>16</v>
      </c>
      <c r="V1241" s="276" t="s">
        <v>48</v>
      </c>
    </row>
    <row r="1242" spans="1:22" s="172" customFormat="1" ht="20.25" customHeight="1">
      <c r="A1242" s="263" t="str">
        <f t="shared" si="880"/>
        <v/>
      </c>
      <c r="B1242" s="263"/>
      <c r="C1242" s="264">
        <f t="shared" si="921"/>
        <v>1231</v>
      </c>
      <c r="D1242" s="277" t="s">
        <v>1774</v>
      </c>
      <c r="E1242" s="293">
        <f t="shared" si="933"/>
        <v>1230</v>
      </c>
      <c r="F1242" s="267" t="s">
        <v>61</v>
      </c>
      <c r="G1242" s="267"/>
      <c r="H1242" s="316">
        <v>1500</v>
      </c>
      <c r="I1242" s="316"/>
      <c r="J1242" s="317">
        <f>J1241</f>
        <v>60</v>
      </c>
      <c r="K1242" s="317" t="str">
        <f>K1241</f>
        <v>joints</v>
      </c>
      <c r="L1242" s="367" t="str">
        <f>J1242&amp;" "&amp;K1242</f>
        <v>60 joints</v>
      </c>
      <c r="M1242" s="319">
        <v>1</v>
      </c>
      <c r="N1242" s="271" t="s">
        <v>84</v>
      </c>
      <c r="O1242" s="297" t="str">
        <f>LEFT(L1242,SEARCH(" ",L1242,1)-1)</f>
        <v>60</v>
      </c>
      <c r="P1242" s="271" t="s">
        <v>633</v>
      </c>
      <c r="Q1242" s="324">
        <f>VLOOKUP(H1242,BM!$B$3:$Y$62,9,FALSE)</f>
        <v>0.25</v>
      </c>
      <c r="R1242" s="271" t="s">
        <v>87</v>
      </c>
      <c r="S1242" s="290">
        <f t="shared" si="932"/>
        <v>15</v>
      </c>
      <c r="T1242" s="275">
        <v>1</v>
      </c>
      <c r="U1242" s="290">
        <f t="shared" si="886"/>
        <v>16</v>
      </c>
      <c r="V1242" s="276" t="s">
        <v>48</v>
      </c>
    </row>
    <row r="1243" spans="1:22" s="172" customFormat="1" ht="20.25" customHeight="1">
      <c r="A1243" s="263">
        <f t="shared" si="880"/>
        <v>1232</v>
      </c>
      <c r="B1243" s="263" t="s">
        <v>1263</v>
      </c>
      <c r="C1243" s="264">
        <f t="shared" si="921"/>
        <v>1232</v>
      </c>
      <c r="D1243" s="265" t="s">
        <v>1775</v>
      </c>
      <c r="E1243" s="279">
        <f>C1239</f>
        <v>1228</v>
      </c>
      <c r="F1243" s="267"/>
      <c r="G1243" s="267"/>
      <c r="H1243" s="268"/>
      <c r="I1243" s="268"/>
      <c r="J1243" s="269"/>
      <c r="K1243" s="269"/>
      <c r="L1243" s="269"/>
      <c r="M1243" s="319"/>
      <c r="N1243" s="271"/>
      <c r="O1243" s="280"/>
      <c r="P1243" s="271"/>
      <c r="Q1243" s="281"/>
      <c r="R1243" s="271"/>
      <c r="S1243" s="312"/>
      <c r="T1243" s="282"/>
      <c r="U1243" s="312"/>
      <c r="V1243" s="276"/>
    </row>
    <row r="1244" spans="1:22" s="172" customFormat="1" ht="20.25" customHeight="1">
      <c r="A1244" s="263" t="str">
        <f t="shared" ref="A1244:A1289" si="934">IF(B1244="Yes",C1244,"")</f>
        <v/>
      </c>
      <c r="B1244" s="263"/>
      <c r="C1244" s="264">
        <f t="shared" si="921"/>
        <v>1233</v>
      </c>
      <c r="D1244" s="277" t="s">
        <v>1776</v>
      </c>
      <c r="E1244" s="293"/>
      <c r="F1244" s="267" t="s">
        <v>637</v>
      </c>
      <c r="G1244" s="267"/>
      <c r="H1244" s="268"/>
      <c r="I1244" s="268"/>
      <c r="J1244" s="316">
        <v>7000</v>
      </c>
      <c r="K1244" s="322" t="s">
        <v>1835</v>
      </c>
      <c r="L1244" s="367" t="str">
        <f t="shared" ref="L1244" si="935">J1244&amp;" "&amp;K1244</f>
        <v>7000 lg</v>
      </c>
      <c r="M1244" s="319">
        <v>1</v>
      </c>
      <c r="N1244" s="271" t="s">
        <v>81</v>
      </c>
      <c r="O1244" s="272">
        <v>1</v>
      </c>
      <c r="P1244" s="271" t="s">
        <v>81</v>
      </c>
      <c r="Q1244" s="273">
        <v>16</v>
      </c>
      <c r="R1244" s="271" t="s">
        <v>87</v>
      </c>
      <c r="S1244" s="290">
        <f t="shared" ref="S1244:S1246" si="936">O1244*Q1244</f>
        <v>16</v>
      </c>
      <c r="T1244" s="275">
        <v>1</v>
      </c>
      <c r="U1244" s="290">
        <f t="shared" si="886"/>
        <v>17</v>
      </c>
      <c r="V1244" s="276" t="s">
        <v>48</v>
      </c>
    </row>
    <row r="1245" spans="1:22" s="172" customFormat="1" ht="20.25" customHeight="1">
      <c r="A1245" s="263" t="str">
        <f t="shared" si="934"/>
        <v/>
      </c>
      <c r="B1245" s="263"/>
      <c r="C1245" s="264">
        <f t="shared" si="921"/>
        <v>1234</v>
      </c>
      <c r="D1245" s="277" t="s">
        <v>1777</v>
      </c>
      <c r="E1245" s="293">
        <f t="shared" ref="E1245:E1246" si="937">C1244</f>
        <v>1233</v>
      </c>
      <c r="F1245" s="267" t="s">
        <v>640</v>
      </c>
      <c r="G1245" s="267"/>
      <c r="H1245" s="322">
        <v>145</v>
      </c>
      <c r="I1245" s="322" t="s">
        <v>1831</v>
      </c>
      <c r="J1245" s="269"/>
      <c r="K1245" s="269"/>
      <c r="L1245" s="269"/>
      <c r="M1245" s="319">
        <v>1</v>
      </c>
      <c r="N1245" s="271" t="s">
        <v>81</v>
      </c>
      <c r="O1245" s="272">
        <v>1</v>
      </c>
      <c r="P1245" s="271" t="s">
        <v>81</v>
      </c>
      <c r="Q1245" s="273">
        <v>4</v>
      </c>
      <c r="R1245" s="271" t="s">
        <v>87</v>
      </c>
      <c r="S1245" s="290">
        <f t="shared" si="936"/>
        <v>4</v>
      </c>
      <c r="T1245" s="275">
        <v>1</v>
      </c>
      <c r="U1245" s="290">
        <f t="shared" si="886"/>
        <v>5</v>
      </c>
      <c r="V1245" s="276" t="s">
        <v>48</v>
      </c>
    </row>
    <row r="1246" spans="1:22" s="172" customFormat="1" ht="20.25" customHeight="1">
      <c r="A1246" s="263" t="str">
        <f t="shared" si="934"/>
        <v/>
      </c>
      <c r="B1246" s="263"/>
      <c r="C1246" s="264">
        <f t="shared" si="921"/>
        <v>1235</v>
      </c>
      <c r="D1246" s="277" t="s">
        <v>1778</v>
      </c>
      <c r="E1246" s="293">
        <f t="shared" si="937"/>
        <v>1234</v>
      </c>
      <c r="F1246" s="267" t="s">
        <v>643</v>
      </c>
      <c r="G1246" s="267"/>
      <c r="H1246" s="316">
        <v>165</v>
      </c>
      <c r="I1246" s="322" t="s">
        <v>1831</v>
      </c>
      <c r="J1246" s="316">
        <v>1490</v>
      </c>
      <c r="K1246" s="316"/>
      <c r="L1246" s="367" t="str">
        <f t="shared" ref="L1246" si="938">J1246&amp;" "&amp;K1246</f>
        <v xml:space="preserve">1490 </v>
      </c>
      <c r="M1246" s="319">
        <v>1</v>
      </c>
      <c r="N1246" s="271" t="s">
        <v>81</v>
      </c>
      <c r="O1246" s="272">
        <v>56</v>
      </c>
      <c r="P1246" s="271" t="s">
        <v>645</v>
      </c>
      <c r="Q1246" s="324">
        <f>1/60*10</f>
        <v>0.16666666666666666</v>
      </c>
      <c r="R1246" s="271" t="s">
        <v>112</v>
      </c>
      <c r="S1246" s="290">
        <f t="shared" si="936"/>
        <v>9.3333333333333321</v>
      </c>
      <c r="T1246" s="275">
        <v>1</v>
      </c>
      <c r="U1246" s="290">
        <f t="shared" si="886"/>
        <v>10.33</v>
      </c>
      <c r="V1246" s="276" t="s">
        <v>48</v>
      </c>
    </row>
    <row r="1247" spans="1:22" s="172" customFormat="1" ht="20.25" customHeight="1">
      <c r="A1247" s="263">
        <f t="shared" si="934"/>
        <v>1236</v>
      </c>
      <c r="B1247" s="263" t="s">
        <v>1263</v>
      </c>
      <c r="C1247" s="264">
        <f t="shared" si="921"/>
        <v>1236</v>
      </c>
      <c r="D1247" s="265" t="s">
        <v>1779</v>
      </c>
      <c r="E1247" s="279">
        <f>C1243</f>
        <v>1232</v>
      </c>
      <c r="F1247" s="267"/>
      <c r="G1247" s="267"/>
      <c r="H1247" s="268"/>
      <c r="I1247" s="268"/>
      <c r="J1247" s="269"/>
      <c r="K1247" s="269"/>
      <c r="L1247" s="269"/>
      <c r="M1247" s="319"/>
      <c r="N1247" s="271"/>
      <c r="O1247" s="280"/>
      <c r="P1247" s="271"/>
      <c r="Q1247" s="281"/>
      <c r="R1247" s="271"/>
      <c r="S1247" s="312"/>
      <c r="T1247" s="282"/>
      <c r="U1247" s="312"/>
      <c r="V1247" s="276"/>
    </row>
    <row r="1248" spans="1:22" s="172" customFormat="1" ht="20.25" customHeight="1">
      <c r="A1248" s="263" t="str">
        <f t="shared" si="934"/>
        <v/>
      </c>
      <c r="B1248" s="263"/>
      <c r="C1248" s="264">
        <f t="shared" si="921"/>
        <v>1237</v>
      </c>
      <c r="D1248" s="277" t="s">
        <v>1780</v>
      </c>
      <c r="E1248" s="293"/>
      <c r="F1248" s="267" t="s">
        <v>201</v>
      </c>
      <c r="G1248" s="267"/>
      <c r="H1248" s="316">
        <v>150</v>
      </c>
      <c r="I1248" s="322" t="s">
        <v>1831</v>
      </c>
      <c r="J1248" s="316">
        <v>1308</v>
      </c>
      <c r="K1248" s="322" t="s">
        <v>40</v>
      </c>
      <c r="L1248" s="367" t="str">
        <f t="shared" ref="L1248:L1251" si="939">J1248&amp;" "&amp;K1248</f>
        <v>1308 nos</v>
      </c>
      <c r="M1248" s="319">
        <v>1308</v>
      </c>
      <c r="N1248" s="271" t="s">
        <v>81</v>
      </c>
      <c r="O1248" s="297" t="str">
        <f>LEFT(L1248,SEARCH(" ",L1248,1)-1)</f>
        <v>1308</v>
      </c>
      <c r="P1248" s="271" t="s">
        <v>650</v>
      </c>
      <c r="Q1248" s="324">
        <f>1/60*1</f>
        <v>1.6666666666666666E-2</v>
      </c>
      <c r="R1248" s="271" t="s">
        <v>112</v>
      </c>
      <c r="S1248" s="290">
        <f t="shared" ref="S1248:S1251" si="940">O1248*Q1248</f>
        <v>21.8</v>
      </c>
      <c r="T1248" s="275">
        <v>1</v>
      </c>
      <c r="U1248" s="290">
        <f t="shared" ref="U1248:U1289" si="941">ROUND(S1248+T1248,2)</f>
        <v>22.8</v>
      </c>
      <c r="V1248" s="276" t="s">
        <v>48</v>
      </c>
    </row>
    <row r="1249" spans="1:22" s="172" customFormat="1" ht="20.25" customHeight="1">
      <c r="A1249" s="263" t="str">
        <f t="shared" si="934"/>
        <v/>
      </c>
      <c r="B1249" s="263"/>
      <c r="C1249" s="264">
        <f t="shared" si="921"/>
        <v>1238</v>
      </c>
      <c r="D1249" s="277" t="s">
        <v>1781</v>
      </c>
      <c r="E1249" s="293">
        <f t="shared" ref="E1249:E1251" si="942">C1248</f>
        <v>1237</v>
      </c>
      <c r="F1249" s="267" t="s">
        <v>201</v>
      </c>
      <c r="G1249" s="267"/>
      <c r="H1249" s="322" t="s">
        <v>1849</v>
      </c>
      <c r="I1249" s="316"/>
      <c r="J1249" s="316">
        <v>1308</v>
      </c>
      <c r="K1249" s="322" t="s">
        <v>40</v>
      </c>
      <c r="L1249" s="367" t="str">
        <f t="shared" si="939"/>
        <v>1308 nos</v>
      </c>
      <c r="M1249" s="319">
        <v>1308</v>
      </c>
      <c r="N1249" s="271" t="s">
        <v>81</v>
      </c>
      <c r="O1249" s="297" t="str">
        <f>LEFT(L1249,SEARCH(" ",L1249,1)-1)</f>
        <v>1308</v>
      </c>
      <c r="P1249" s="271" t="s">
        <v>650</v>
      </c>
      <c r="Q1249" s="324">
        <f>1/60*0.5</f>
        <v>8.3333333333333332E-3</v>
      </c>
      <c r="R1249" s="271" t="s">
        <v>112</v>
      </c>
      <c r="S1249" s="290">
        <f t="shared" si="940"/>
        <v>10.9</v>
      </c>
      <c r="T1249" s="275">
        <v>1</v>
      </c>
      <c r="U1249" s="290">
        <f t="shared" si="941"/>
        <v>11.9</v>
      </c>
      <c r="V1249" s="276" t="s">
        <v>48</v>
      </c>
    </row>
    <row r="1250" spans="1:22" s="172" customFormat="1" ht="20.25" customHeight="1">
      <c r="A1250" s="263" t="str">
        <f t="shared" si="934"/>
        <v/>
      </c>
      <c r="B1250" s="263"/>
      <c r="C1250" s="264">
        <f t="shared" si="921"/>
        <v>1239</v>
      </c>
      <c r="D1250" s="277" t="s">
        <v>1782</v>
      </c>
      <c r="E1250" s="293">
        <f t="shared" si="942"/>
        <v>1238</v>
      </c>
      <c r="F1250" s="267" t="s">
        <v>44</v>
      </c>
      <c r="G1250" s="267"/>
      <c r="H1250" s="322" t="s">
        <v>1849</v>
      </c>
      <c r="I1250" s="316"/>
      <c r="J1250" s="316">
        <v>1308</v>
      </c>
      <c r="K1250" s="322" t="s">
        <v>40</v>
      </c>
      <c r="L1250" s="367" t="str">
        <f t="shared" si="939"/>
        <v>1308 nos</v>
      </c>
      <c r="M1250" s="319">
        <v>1308</v>
      </c>
      <c r="N1250" s="271" t="s">
        <v>81</v>
      </c>
      <c r="O1250" s="297" t="str">
        <f>LEFT(L1250,SEARCH(" ",L1250,1)-1)</f>
        <v>1308</v>
      </c>
      <c r="P1250" s="271" t="s">
        <v>654</v>
      </c>
      <c r="Q1250" s="324">
        <f>1/60*2</f>
        <v>3.3333333333333333E-2</v>
      </c>
      <c r="R1250" s="271" t="s">
        <v>112</v>
      </c>
      <c r="S1250" s="290">
        <f t="shared" si="940"/>
        <v>43.6</v>
      </c>
      <c r="T1250" s="275">
        <v>1</v>
      </c>
      <c r="U1250" s="290">
        <f t="shared" si="941"/>
        <v>44.6</v>
      </c>
      <c r="V1250" s="276" t="s">
        <v>48</v>
      </c>
    </row>
    <row r="1251" spans="1:22" s="172" customFormat="1" ht="20.25" customHeight="1">
      <c r="A1251" s="263" t="str">
        <f t="shared" si="934"/>
        <v/>
      </c>
      <c r="B1251" s="263"/>
      <c r="C1251" s="264">
        <f t="shared" si="921"/>
        <v>1240</v>
      </c>
      <c r="D1251" s="277" t="s">
        <v>1783</v>
      </c>
      <c r="E1251" s="293">
        <f t="shared" si="942"/>
        <v>1239</v>
      </c>
      <c r="F1251" s="267" t="s">
        <v>656</v>
      </c>
      <c r="G1251" s="267"/>
      <c r="H1251" s="322">
        <v>150</v>
      </c>
      <c r="I1251" s="322" t="s">
        <v>1831</v>
      </c>
      <c r="J1251" s="316">
        <v>2516</v>
      </c>
      <c r="K1251" s="322" t="s">
        <v>1845</v>
      </c>
      <c r="L1251" s="367" t="str">
        <f t="shared" si="939"/>
        <v>2516 roll</v>
      </c>
      <c r="M1251" s="326">
        <v>2616</v>
      </c>
      <c r="N1251" s="271" t="s">
        <v>81</v>
      </c>
      <c r="O1251" s="297" t="str">
        <f>LEFT(L1251,SEARCH(" ",L1251,1)-1)</f>
        <v>2516</v>
      </c>
      <c r="P1251" s="271" t="s">
        <v>650</v>
      </c>
      <c r="Q1251" s="324">
        <f>1/60*0.5</f>
        <v>8.3333333333333332E-3</v>
      </c>
      <c r="R1251" s="271" t="s">
        <v>112</v>
      </c>
      <c r="S1251" s="290">
        <f t="shared" si="940"/>
        <v>20.966666666666665</v>
      </c>
      <c r="T1251" s="275">
        <v>1</v>
      </c>
      <c r="U1251" s="290">
        <f t="shared" si="941"/>
        <v>21.97</v>
      </c>
      <c r="V1251" s="276" t="s">
        <v>48</v>
      </c>
    </row>
    <row r="1252" spans="1:22" s="172" customFormat="1" ht="20.25" customHeight="1">
      <c r="A1252" s="263">
        <f t="shared" si="934"/>
        <v>1241</v>
      </c>
      <c r="B1252" s="263" t="s">
        <v>1263</v>
      </c>
      <c r="C1252" s="264">
        <f t="shared" si="921"/>
        <v>1241</v>
      </c>
      <c r="D1252" s="265" t="s">
        <v>1784</v>
      </c>
      <c r="E1252" s="279">
        <f>C1247</f>
        <v>1236</v>
      </c>
      <c r="F1252" s="267"/>
      <c r="G1252" s="267"/>
      <c r="H1252" s="268"/>
      <c r="I1252" s="268"/>
      <c r="J1252" s="269"/>
      <c r="K1252" s="269"/>
      <c r="L1252" s="269"/>
      <c r="M1252" s="319"/>
      <c r="N1252" s="271"/>
      <c r="O1252" s="280"/>
      <c r="P1252" s="271"/>
      <c r="Q1252" s="281"/>
      <c r="R1252" s="271"/>
      <c r="S1252" s="312"/>
      <c r="T1252" s="282"/>
      <c r="U1252" s="312"/>
      <c r="V1252" s="276"/>
    </row>
    <row r="1253" spans="1:22" s="172" customFormat="1" ht="20.25" customHeight="1">
      <c r="A1253" s="263" t="str">
        <f t="shared" si="934"/>
        <v/>
      </c>
      <c r="B1253" s="263"/>
      <c r="C1253" s="264">
        <f t="shared" si="921"/>
        <v>1242</v>
      </c>
      <c r="D1253" s="277" t="s">
        <v>1785</v>
      </c>
      <c r="E1253" s="293"/>
      <c r="F1253" s="267" t="s">
        <v>656</v>
      </c>
      <c r="G1253" s="267"/>
      <c r="H1253" s="268"/>
      <c r="I1253" s="268"/>
      <c r="J1253" s="269"/>
      <c r="K1253" s="269"/>
      <c r="L1253" s="269"/>
      <c r="M1253" s="319">
        <v>1</v>
      </c>
      <c r="N1253" s="296" t="s">
        <v>81</v>
      </c>
      <c r="O1253" s="272">
        <v>1</v>
      </c>
      <c r="P1253" s="271" t="s">
        <v>661</v>
      </c>
      <c r="Q1253" s="273">
        <v>4</v>
      </c>
      <c r="R1253" s="271" t="s">
        <v>112</v>
      </c>
      <c r="S1253" s="290">
        <f t="shared" ref="S1253:S1255" si="943">O1253*Q1253</f>
        <v>4</v>
      </c>
      <c r="T1253" s="275">
        <v>1</v>
      </c>
      <c r="U1253" s="290">
        <f t="shared" si="941"/>
        <v>5</v>
      </c>
      <c r="V1253" s="276" t="s">
        <v>48</v>
      </c>
    </row>
    <row r="1254" spans="1:22" s="172" customFormat="1" ht="20.25" customHeight="1">
      <c r="A1254" s="263" t="str">
        <f t="shared" si="934"/>
        <v/>
      </c>
      <c r="B1254" s="263"/>
      <c r="C1254" s="264">
        <f t="shared" si="921"/>
        <v>1243</v>
      </c>
      <c r="D1254" s="277" t="s">
        <v>1786</v>
      </c>
      <c r="E1254" s="293">
        <f t="shared" ref="E1254:E1255" si="944">C1253</f>
        <v>1242</v>
      </c>
      <c r="F1254" s="267" t="s">
        <v>44</v>
      </c>
      <c r="G1254" s="267"/>
      <c r="H1254" s="268"/>
      <c r="I1254" s="268"/>
      <c r="J1254" s="269"/>
      <c r="K1254" s="269"/>
      <c r="L1254" s="269"/>
      <c r="M1254" s="319">
        <v>1</v>
      </c>
      <c r="N1254" s="296" t="s">
        <v>81</v>
      </c>
      <c r="O1254" s="272">
        <v>1</v>
      </c>
      <c r="P1254" s="271" t="s">
        <v>661</v>
      </c>
      <c r="Q1254" s="273">
        <v>1</v>
      </c>
      <c r="R1254" s="271" t="s">
        <v>41</v>
      </c>
      <c r="S1254" s="290">
        <f t="shared" si="943"/>
        <v>1</v>
      </c>
      <c r="T1254" s="275"/>
      <c r="U1254" s="290">
        <f t="shared" si="941"/>
        <v>1</v>
      </c>
      <c r="V1254" s="276" t="s">
        <v>48</v>
      </c>
    </row>
    <row r="1255" spans="1:22" s="172" customFormat="1" ht="20.25" customHeight="1">
      <c r="A1255" s="263" t="str">
        <f t="shared" si="934"/>
        <v/>
      </c>
      <c r="B1255" s="263"/>
      <c r="C1255" s="264">
        <f t="shared" si="921"/>
        <v>1244</v>
      </c>
      <c r="D1255" s="277" t="s">
        <v>1787</v>
      </c>
      <c r="E1255" s="293">
        <f t="shared" si="944"/>
        <v>1243</v>
      </c>
      <c r="F1255" s="267" t="s">
        <v>224</v>
      </c>
      <c r="G1255" s="267"/>
      <c r="H1255" s="268"/>
      <c r="I1255" s="268"/>
      <c r="J1255" s="269"/>
      <c r="K1255" s="269"/>
      <c r="L1255" s="269"/>
      <c r="M1255" s="319">
        <v>1</v>
      </c>
      <c r="N1255" s="296" t="s">
        <v>81</v>
      </c>
      <c r="O1255" s="272">
        <v>1</v>
      </c>
      <c r="P1255" s="296" t="s">
        <v>81</v>
      </c>
      <c r="Q1255" s="273">
        <v>1</v>
      </c>
      <c r="R1255" s="271" t="s">
        <v>162</v>
      </c>
      <c r="S1255" s="290">
        <f t="shared" si="943"/>
        <v>1</v>
      </c>
      <c r="T1255" s="275"/>
      <c r="U1255" s="290">
        <f t="shared" si="941"/>
        <v>1</v>
      </c>
      <c r="V1255" s="276" t="s">
        <v>48</v>
      </c>
    </row>
    <row r="1256" spans="1:22" s="172" customFormat="1" ht="20.25" customHeight="1">
      <c r="A1256" s="263">
        <f t="shared" si="934"/>
        <v>1245</v>
      </c>
      <c r="B1256" s="263" t="s">
        <v>1263</v>
      </c>
      <c r="C1256" s="264">
        <f t="shared" si="921"/>
        <v>1245</v>
      </c>
      <c r="D1256" s="265" t="s">
        <v>1788</v>
      </c>
      <c r="E1256" s="279">
        <f>C1252</f>
        <v>1241</v>
      </c>
      <c r="F1256" s="267"/>
      <c r="G1256" s="267"/>
      <c r="H1256" s="268"/>
      <c r="I1256" s="268"/>
      <c r="J1256" s="269"/>
      <c r="K1256" s="269"/>
      <c r="L1256" s="269"/>
      <c r="M1256" s="319"/>
      <c r="N1256" s="271"/>
      <c r="O1256" s="280"/>
      <c r="P1256" s="271"/>
      <c r="Q1256" s="281"/>
      <c r="R1256" s="271"/>
      <c r="S1256" s="312"/>
      <c r="T1256" s="282"/>
      <c r="U1256" s="312"/>
      <c r="V1256" s="276"/>
    </row>
    <row r="1257" spans="1:22" s="172" customFormat="1" ht="20.25" customHeight="1">
      <c r="A1257" s="263" t="str">
        <f t="shared" si="934"/>
        <v/>
      </c>
      <c r="B1257" s="263"/>
      <c r="C1257" s="264">
        <f t="shared" si="921"/>
        <v>1246</v>
      </c>
      <c r="D1257" s="277" t="s">
        <v>1789</v>
      </c>
      <c r="E1257" s="293"/>
      <c r="F1257" s="267" t="s">
        <v>666</v>
      </c>
      <c r="G1257" s="267"/>
      <c r="H1257" s="316">
        <v>2.77</v>
      </c>
      <c r="I1257" s="316"/>
      <c r="J1257" s="316">
        <v>25.4</v>
      </c>
      <c r="K1257" s="322" t="s">
        <v>1832</v>
      </c>
      <c r="L1257" s="367" t="str">
        <f t="shared" ref="L1257" si="945">J1257&amp;" "&amp;K1257</f>
        <v>25.4 od</v>
      </c>
      <c r="M1257" s="319">
        <v>1308</v>
      </c>
      <c r="N1257" s="271" t="s">
        <v>81</v>
      </c>
      <c r="O1257" s="327">
        <f>M1257</f>
        <v>1308</v>
      </c>
      <c r="P1257" s="271" t="s">
        <v>668</v>
      </c>
      <c r="Q1257" s="324">
        <f>1/60*5</f>
        <v>8.3333333333333329E-2</v>
      </c>
      <c r="R1257" s="271" t="s">
        <v>112</v>
      </c>
      <c r="S1257" s="290">
        <f t="shared" ref="S1257:S1260" si="946">O1257*Q1257</f>
        <v>109</v>
      </c>
      <c r="T1257" s="275">
        <v>1</v>
      </c>
      <c r="U1257" s="290">
        <f t="shared" si="941"/>
        <v>110</v>
      </c>
      <c r="V1257" s="276" t="s">
        <v>48</v>
      </c>
    </row>
    <row r="1258" spans="1:22" s="172" customFormat="1" ht="20.25" customHeight="1">
      <c r="A1258" s="263" t="str">
        <f t="shared" si="934"/>
        <v/>
      </c>
      <c r="B1258" s="263"/>
      <c r="C1258" s="264">
        <f t="shared" si="921"/>
        <v>1247</v>
      </c>
      <c r="D1258" s="277" t="s">
        <v>1790</v>
      </c>
      <c r="E1258" s="293">
        <f t="shared" ref="E1258:E1260" si="947">C1257</f>
        <v>1246</v>
      </c>
      <c r="F1258" s="267" t="s">
        <v>44</v>
      </c>
      <c r="G1258" s="267"/>
      <c r="H1258" s="316">
        <v>2.77</v>
      </c>
      <c r="I1258" s="316"/>
      <c r="J1258" s="269"/>
      <c r="K1258" s="269"/>
      <c r="L1258" s="269"/>
      <c r="M1258" s="319">
        <v>1308</v>
      </c>
      <c r="N1258" s="271" t="s">
        <v>81</v>
      </c>
      <c r="O1258" s="272">
        <v>1</v>
      </c>
      <c r="P1258" s="296" t="s">
        <v>81</v>
      </c>
      <c r="Q1258" s="273">
        <v>8</v>
      </c>
      <c r="R1258" s="271" t="s">
        <v>112</v>
      </c>
      <c r="S1258" s="290">
        <f t="shared" si="946"/>
        <v>8</v>
      </c>
      <c r="T1258" s="275">
        <v>1</v>
      </c>
      <c r="U1258" s="290">
        <f t="shared" si="941"/>
        <v>9</v>
      </c>
      <c r="V1258" s="276" t="s">
        <v>48</v>
      </c>
    </row>
    <row r="1259" spans="1:22" s="172" customFormat="1" ht="20.25" customHeight="1">
      <c r="A1259" s="263" t="str">
        <f t="shared" si="934"/>
        <v/>
      </c>
      <c r="B1259" s="263"/>
      <c r="C1259" s="264">
        <f t="shared" si="921"/>
        <v>1248</v>
      </c>
      <c r="D1259" s="277" t="s">
        <v>1791</v>
      </c>
      <c r="E1259" s="293">
        <f t="shared" si="947"/>
        <v>1247</v>
      </c>
      <c r="F1259" s="267" t="s">
        <v>666</v>
      </c>
      <c r="G1259" s="267"/>
      <c r="H1259" s="316">
        <v>2.77</v>
      </c>
      <c r="I1259" s="316"/>
      <c r="J1259" s="269"/>
      <c r="K1259" s="269"/>
      <c r="L1259" s="269"/>
      <c r="M1259" s="319">
        <v>1308</v>
      </c>
      <c r="N1259" s="271" t="s">
        <v>81</v>
      </c>
      <c r="O1259" s="327">
        <f>M1259</f>
        <v>1308</v>
      </c>
      <c r="P1259" s="271" t="s">
        <v>668</v>
      </c>
      <c r="Q1259" s="324">
        <f>1/60*5</f>
        <v>8.3333333333333329E-2</v>
      </c>
      <c r="R1259" s="271" t="s">
        <v>112</v>
      </c>
      <c r="S1259" s="290">
        <f t="shared" si="946"/>
        <v>109</v>
      </c>
      <c r="T1259" s="275">
        <v>1</v>
      </c>
      <c r="U1259" s="290">
        <f t="shared" si="941"/>
        <v>110</v>
      </c>
      <c r="V1259" s="276" t="s">
        <v>48</v>
      </c>
    </row>
    <row r="1260" spans="1:22" s="172" customFormat="1" ht="20.25" customHeight="1">
      <c r="A1260" s="263" t="str">
        <f t="shared" si="934"/>
        <v/>
      </c>
      <c r="B1260" s="263"/>
      <c r="C1260" s="264">
        <f t="shared" si="921"/>
        <v>1249</v>
      </c>
      <c r="D1260" s="277" t="s">
        <v>1792</v>
      </c>
      <c r="E1260" s="293">
        <f t="shared" si="947"/>
        <v>1248</v>
      </c>
      <c r="F1260" s="267" t="s">
        <v>44</v>
      </c>
      <c r="G1260" s="267"/>
      <c r="H1260" s="316">
        <v>2.77</v>
      </c>
      <c r="I1260" s="316"/>
      <c r="J1260" s="269"/>
      <c r="K1260" s="269"/>
      <c r="L1260" s="269"/>
      <c r="M1260" s="319">
        <v>1308</v>
      </c>
      <c r="N1260" s="271" t="s">
        <v>81</v>
      </c>
      <c r="O1260" s="272">
        <v>1</v>
      </c>
      <c r="P1260" s="296" t="s">
        <v>81</v>
      </c>
      <c r="Q1260" s="273">
        <v>8</v>
      </c>
      <c r="R1260" s="271" t="s">
        <v>112</v>
      </c>
      <c r="S1260" s="290">
        <f t="shared" si="946"/>
        <v>8</v>
      </c>
      <c r="T1260" s="275">
        <v>1</v>
      </c>
      <c r="U1260" s="290">
        <f t="shared" si="941"/>
        <v>9</v>
      </c>
      <c r="V1260" s="276" t="s">
        <v>48</v>
      </c>
    </row>
    <row r="1261" spans="1:22" s="172" customFormat="1" ht="20.25" customHeight="1">
      <c r="A1261" s="263">
        <f t="shared" si="934"/>
        <v>1250</v>
      </c>
      <c r="B1261" s="263" t="s">
        <v>1263</v>
      </c>
      <c r="C1261" s="264">
        <f t="shared" si="921"/>
        <v>1250</v>
      </c>
      <c r="D1261" s="265" t="s">
        <v>1793</v>
      </c>
      <c r="E1261" s="279">
        <f>C1256</f>
        <v>1245</v>
      </c>
      <c r="F1261" s="267"/>
      <c r="G1261" s="267"/>
      <c r="H1261" s="268"/>
      <c r="I1261" s="268"/>
      <c r="J1261" s="269"/>
      <c r="K1261" s="269"/>
      <c r="L1261" s="269"/>
      <c r="M1261" s="319"/>
      <c r="N1261" s="271"/>
      <c r="O1261" s="280"/>
      <c r="P1261" s="271"/>
      <c r="Q1261" s="281"/>
      <c r="R1261" s="271"/>
      <c r="S1261" s="312"/>
      <c r="T1261" s="282"/>
      <c r="U1261" s="312"/>
      <c r="V1261" s="276"/>
    </row>
    <row r="1262" spans="1:22" s="172" customFormat="1" ht="20.25" customHeight="1">
      <c r="A1262" s="263" t="str">
        <f t="shared" si="934"/>
        <v/>
      </c>
      <c r="B1262" s="263"/>
      <c r="C1262" s="264">
        <f t="shared" si="921"/>
        <v>1251</v>
      </c>
      <c r="D1262" s="277" t="s">
        <v>1794</v>
      </c>
      <c r="E1262" s="293"/>
      <c r="F1262" s="267" t="s">
        <v>666</v>
      </c>
      <c r="G1262" s="267"/>
      <c r="H1262" s="316">
        <v>2.77</v>
      </c>
      <c r="I1262" s="316"/>
      <c r="J1262" s="269"/>
      <c r="K1262" s="269"/>
      <c r="L1262" s="269"/>
      <c r="M1262" s="319">
        <v>1308</v>
      </c>
      <c r="N1262" s="271" t="s">
        <v>81</v>
      </c>
      <c r="O1262" s="327">
        <f>M1262</f>
        <v>1308</v>
      </c>
      <c r="P1262" s="271" t="s">
        <v>668</v>
      </c>
      <c r="Q1262" s="324">
        <f>1/60*5</f>
        <v>8.3333333333333329E-2</v>
      </c>
      <c r="R1262" s="271" t="s">
        <v>112</v>
      </c>
      <c r="S1262" s="290">
        <f t="shared" ref="S1262:S1265" si="948">O1262*Q1262</f>
        <v>109</v>
      </c>
      <c r="T1262" s="275">
        <v>1</v>
      </c>
      <c r="U1262" s="290">
        <f t="shared" si="941"/>
        <v>110</v>
      </c>
      <c r="V1262" s="276" t="s">
        <v>48</v>
      </c>
    </row>
    <row r="1263" spans="1:22" s="172" customFormat="1" ht="20.25" customHeight="1">
      <c r="A1263" s="263" t="str">
        <f t="shared" si="934"/>
        <v/>
      </c>
      <c r="B1263" s="263"/>
      <c r="C1263" s="264">
        <f t="shared" si="921"/>
        <v>1252</v>
      </c>
      <c r="D1263" s="277" t="s">
        <v>1795</v>
      </c>
      <c r="E1263" s="293">
        <f t="shared" ref="E1263:E1265" si="949">C1262</f>
        <v>1251</v>
      </c>
      <c r="F1263" s="267" t="s">
        <v>44</v>
      </c>
      <c r="G1263" s="267"/>
      <c r="H1263" s="316">
        <v>2.77</v>
      </c>
      <c r="I1263" s="316"/>
      <c r="J1263" s="269"/>
      <c r="K1263" s="269"/>
      <c r="L1263" s="269"/>
      <c r="M1263" s="319">
        <v>1308</v>
      </c>
      <c r="N1263" s="271" t="s">
        <v>81</v>
      </c>
      <c r="O1263" s="272">
        <v>1</v>
      </c>
      <c r="P1263" s="296" t="s">
        <v>81</v>
      </c>
      <c r="Q1263" s="273">
        <v>8</v>
      </c>
      <c r="R1263" s="271" t="s">
        <v>112</v>
      </c>
      <c r="S1263" s="290">
        <f t="shared" si="948"/>
        <v>8</v>
      </c>
      <c r="T1263" s="275">
        <v>1</v>
      </c>
      <c r="U1263" s="290">
        <f t="shared" si="941"/>
        <v>9</v>
      </c>
      <c r="V1263" s="276" t="s">
        <v>48</v>
      </c>
    </row>
    <row r="1264" spans="1:22" s="172" customFormat="1" ht="20.25" customHeight="1">
      <c r="A1264" s="263" t="str">
        <f t="shared" si="934"/>
        <v/>
      </c>
      <c r="B1264" s="263"/>
      <c r="C1264" s="264">
        <f t="shared" si="921"/>
        <v>1253</v>
      </c>
      <c r="D1264" s="277" t="s">
        <v>1796</v>
      </c>
      <c r="E1264" s="293">
        <f t="shared" si="949"/>
        <v>1252</v>
      </c>
      <c r="F1264" s="267" t="s">
        <v>666</v>
      </c>
      <c r="G1264" s="267"/>
      <c r="H1264" s="316">
        <v>2.77</v>
      </c>
      <c r="I1264" s="316"/>
      <c r="J1264" s="269"/>
      <c r="K1264" s="269"/>
      <c r="L1264" s="269"/>
      <c r="M1264" s="319">
        <v>1308</v>
      </c>
      <c r="N1264" s="271" t="s">
        <v>81</v>
      </c>
      <c r="O1264" s="327">
        <f>M1264</f>
        <v>1308</v>
      </c>
      <c r="P1264" s="271" t="s">
        <v>668</v>
      </c>
      <c r="Q1264" s="324">
        <f>1/60*5</f>
        <v>8.3333333333333329E-2</v>
      </c>
      <c r="R1264" s="271" t="s">
        <v>112</v>
      </c>
      <c r="S1264" s="290">
        <f t="shared" si="948"/>
        <v>109</v>
      </c>
      <c r="T1264" s="275">
        <v>1</v>
      </c>
      <c r="U1264" s="290">
        <f t="shared" si="941"/>
        <v>110</v>
      </c>
      <c r="V1264" s="276" t="s">
        <v>48</v>
      </c>
    </row>
    <row r="1265" spans="1:22" s="172" customFormat="1" ht="20.25" customHeight="1">
      <c r="A1265" s="263" t="str">
        <f t="shared" si="934"/>
        <v/>
      </c>
      <c r="B1265" s="263"/>
      <c r="C1265" s="264">
        <f t="shared" si="921"/>
        <v>1254</v>
      </c>
      <c r="D1265" s="277" t="s">
        <v>1797</v>
      </c>
      <c r="E1265" s="293">
        <f t="shared" si="949"/>
        <v>1253</v>
      </c>
      <c r="F1265" s="267" t="s">
        <v>44</v>
      </c>
      <c r="G1265" s="267"/>
      <c r="H1265" s="316">
        <v>2.77</v>
      </c>
      <c r="I1265" s="316"/>
      <c r="J1265" s="269"/>
      <c r="K1265" s="269"/>
      <c r="L1265" s="269"/>
      <c r="M1265" s="319">
        <v>1308</v>
      </c>
      <c r="N1265" s="271" t="s">
        <v>81</v>
      </c>
      <c r="O1265" s="272">
        <v>1</v>
      </c>
      <c r="P1265" s="296" t="s">
        <v>81</v>
      </c>
      <c r="Q1265" s="273">
        <v>8</v>
      </c>
      <c r="R1265" s="271" t="s">
        <v>112</v>
      </c>
      <c r="S1265" s="290">
        <f t="shared" si="948"/>
        <v>8</v>
      </c>
      <c r="T1265" s="275">
        <v>1</v>
      </c>
      <c r="U1265" s="290">
        <f t="shared" si="941"/>
        <v>9</v>
      </c>
      <c r="V1265" s="276" t="s">
        <v>48</v>
      </c>
    </row>
    <row r="1266" spans="1:22" s="172" customFormat="1" ht="20.25" customHeight="1">
      <c r="A1266" s="263">
        <f t="shared" si="934"/>
        <v>1255</v>
      </c>
      <c r="B1266" s="263" t="s">
        <v>1263</v>
      </c>
      <c r="C1266" s="264">
        <f t="shared" si="921"/>
        <v>1255</v>
      </c>
      <c r="D1266" s="265" t="s">
        <v>1798</v>
      </c>
      <c r="E1266" s="279">
        <f>C1261</f>
        <v>1250</v>
      </c>
      <c r="F1266" s="267"/>
      <c r="G1266" s="267"/>
      <c r="H1266" s="268"/>
      <c r="I1266" s="268"/>
      <c r="J1266" s="269"/>
      <c r="K1266" s="269"/>
      <c r="L1266" s="269"/>
      <c r="M1266" s="319"/>
      <c r="N1266" s="271"/>
      <c r="O1266" s="280"/>
      <c r="P1266" s="271"/>
      <c r="Q1266" s="281"/>
      <c r="R1266" s="271"/>
      <c r="S1266" s="312"/>
      <c r="T1266" s="282"/>
      <c r="U1266" s="312"/>
      <c r="V1266" s="276"/>
    </row>
    <row r="1267" spans="1:22" s="172" customFormat="1" ht="20.25" customHeight="1">
      <c r="A1267" s="263">
        <f t="shared" si="934"/>
        <v>1256</v>
      </c>
      <c r="B1267" s="263" t="s">
        <v>1263</v>
      </c>
      <c r="C1267" s="264">
        <f t="shared" si="921"/>
        <v>1256</v>
      </c>
      <c r="D1267" s="277" t="s">
        <v>1799</v>
      </c>
      <c r="E1267" s="293"/>
      <c r="F1267" s="267"/>
      <c r="G1267" s="267"/>
      <c r="H1267" s="268"/>
      <c r="I1267" s="268"/>
      <c r="J1267" s="269"/>
      <c r="K1267" s="269"/>
      <c r="L1267" s="269"/>
      <c r="M1267" s="319"/>
      <c r="N1267" s="271"/>
      <c r="O1267" s="280"/>
      <c r="P1267" s="271"/>
      <c r="Q1267" s="281"/>
      <c r="R1267" s="271"/>
      <c r="S1267" s="312"/>
      <c r="T1267" s="282"/>
      <c r="U1267" s="312"/>
      <c r="V1267" s="276"/>
    </row>
    <row r="1268" spans="1:22" s="172" customFormat="1" ht="20.25" customHeight="1">
      <c r="A1268" s="263" t="str">
        <f t="shared" si="934"/>
        <v/>
      </c>
      <c r="B1268" s="263"/>
      <c r="C1268" s="264">
        <f t="shared" si="921"/>
        <v>1257</v>
      </c>
      <c r="D1268" s="277" t="s">
        <v>1798</v>
      </c>
      <c r="E1268" s="293">
        <f>C1267</f>
        <v>1256</v>
      </c>
      <c r="F1268" s="267" t="s">
        <v>656</v>
      </c>
      <c r="G1268" s="267"/>
      <c r="H1268" s="268"/>
      <c r="I1268" s="268"/>
      <c r="J1268" s="316">
        <v>6130</v>
      </c>
      <c r="K1268" s="322" t="s">
        <v>1835</v>
      </c>
      <c r="L1268" s="367" t="str">
        <f t="shared" ref="L1268" si="950">J1268&amp;" "&amp;K1268</f>
        <v>6130 lg</v>
      </c>
      <c r="M1268" s="319">
        <v>1</v>
      </c>
      <c r="N1268" s="296" t="s">
        <v>81</v>
      </c>
      <c r="O1268" s="272">
        <v>1</v>
      </c>
      <c r="P1268" s="271" t="s">
        <v>661</v>
      </c>
      <c r="Q1268" s="273">
        <v>12</v>
      </c>
      <c r="R1268" s="271" t="s">
        <v>112</v>
      </c>
      <c r="S1268" s="290">
        <f t="shared" ref="S1268:S1270" si="951">O1268*Q1268</f>
        <v>12</v>
      </c>
      <c r="T1268" s="275">
        <v>1</v>
      </c>
      <c r="U1268" s="290">
        <f t="shared" si="941"/>
        <v>13</v>
      </c>
      <c r="V1268" s="276" t="s">
        <v>48</v>
      </c>
    </row>
    <row r="1269" spans="1:22" s="172" customFormat="1" ht="20.25" customHeight="1">
      <c r="A1269" s="263" t="str">
        <f t="shared" si="934"/>
        <v/>
      </c>
      <c r="B1269" s="263"/>
      <c r="C1269" s="264">
        <f t="shared" si="921"/>
        <v>1258</v>
      </c>
      <c r="D1269" s="277" t="s">
        <v>1800</v>
      </c>
      <c r="E1269" s="293">
        <f t="shared" ref="E1269:E1270" si="952">C1268</f>
        <v>1257</v>
      </c>
      <c r="F1269" s="267" t="s">
        <v>348</v>
      </c>
      <c r="G1269" s="267"/>
      <c r="H1269" s="268"/>
      <c r="I1269" s="268"/>
      <c r="J1269" s="317">
        <f>J1268</f>
        <v>6130</v>
      </c>
      <c r="K1269" s="317" t="str">
        <f>K1268</f>
        <v>lg</v>
      </c>
      <c r="L1269" s="367" t="str">
        <f>J1269&amp;" "&amp;K1269</f>
        <v>6130 lg</v>
      </c>
      <c r="M1269" s="319">
        <v>1</v>
      </c>
      <c r="N1269" s="296" t="s">
        <v>81</v>
      </c>
      <c r="O1269" s="272">
        <v>1</v>
      </c>
      <c r="P1269" s="271" t="s">
        <v>661</v>
      </c>
      <c r="Q1269" s="273">
        <v>1</v>
      </c>
      <c r="R1269" s="271" t="s">
        <v>41</v>
      </c>
      <c r="S1269" s="290">
        <f t="shared" si="951"/>
        <v>1</v>
      </c>
      <c r="T1269" s="275">
        <v>0</v>
      </c>
      <c r="U1269" s="290">
        <f t="shared" si="941"/>
        <v>1</v>
      </c>
      <c r="V1269" s="276" t="s">
        <v>48</v>
      </c>
    </row>
    <row r="1270" spans="1:22" s="172" customFormat="1" ht="20.25" customHeight="1">
      <c r="A1270" s="263" t="str">
        <f t="shared" si="934"/>
        <v/>
      </c>
      <c r="B1270" s="263"/>
      <c r="C1270" s="264">
        <f t="shared" si="921"/>
        <v>1259</v>
      </c>
      <c r="D1270" s="277" t="s">
        <v>1801</v>
      </c>
      <c r="E1270" s="293">
        <f t="shared" si="952"/>
        <v>1258</v>
      </c>
      <c r="F1270" s="267" t="s">
        <v>640</v>
      </c>
      <c r="G1270" s="267"/>
      <c r="H1270" s="268"/>
      <c r="I1270" s="268"/>
      <c r="J1270" s="317">
        <f>J1269</f>
        <v>6130</v>
      </c>
      <c r="K1270" s="317" t="str">
        <f>K1269</f>
        <v>lg</v>
      </c>
      <c r="L1270" s="367" t="str">
        <f>J1270&amp;" "&amp;K1270</f>
        <v>6130 lg</v>
      </c>
      <c r="M1270" s="319">
        <v>1</v>
      </c>
      <c r="N1270" s="296" t="s">
        <v>81</v>
      </c>
      <c r="O1270" s="272">
        <v>1</v>
      </c>
      <c r="P1270" s="271" t="s">
        <v>661</v>
      </c>
      <c r="Q1270" s="273">
        <v>4</v>
      </c>
      <c r="R1270" s="271" t="s">
        <v>112</v>
      </c>
      <c r="S1270" s="290">
        <f t="shared" si="951"/>
        <v>4</v>
      </c>
      <c r="T1270" s="275">
        <v>0</v>
      </c>
      <c r="U1270" s="290">
        <f t="shared" si="941"/>
        <v>4</v>
      </c>
      <c r="V1270" s="276" t="s">
        <v>48</v>
      </c>
    </row>
    <row r="1271" spans="1:22" s="172" customFormat="1" ht="20.25" customHeight="1">
      <c r="A1271" s="263">
        <f t="shared" si="934"/>
        <v>1260</v>
      </c>
      <c r="B1271" s="263" t="s">
        <v>1263</v>
      </c>
      <c r="C1271" s="264">
        <f t="shared" si="921"/>
        <v>1260</v>
      </c>
      <c r="D1271" s="265" t="s">
        <v>1813</v>
      </c>
      <c r="E1271" s="279"/>
      <c r="F1271" s="267"/>
      <c r="G1271" s="267"/>
      <c r="H1271" s="268"/>
      <c r="I1271" s="268"/>
      <c r="J1271" s="269"/>
      <c r="K1271" s="269"/>
      <c r="L1271" s="269"/>
      <c r="M1271" s="319"/>
      <c r="N1271" s="271"/>
      <c r="O1271" s="280"/>
      <c r="P1271" s="271"/>
      <c r="Q1271" s="281"/>
      <c r="R1271" s="271"/>
      <c r="S1271" s="312"/>
      <c r="T1271" s="282"/>
      <c r="U1271" s="312"/>
      <c r="V1271" s="276"/>
    </row>
    <row r="1272" spans="1:22" s="172" customFormat="1" ht="20.25" customHeight="1">
      <c r="A1272" s="263" t="str">
        <f t="shared" si="934"/>
        <v/>
      </c>
      <c r="B1272" s="263"/>
      <c r="C1272" s="264">
        <f t="shared" si="921"/>
        <v>1261</v>
      </c>
      <c r="D1272" s="277" t="s">
        <v>1814</v>
      </c>
      <c r="E1272" s="293"/>
      <c r="F1272" s="267" t="s">
        <v>201</v>
      </c>
      <c r="G1272" s="267"/>
      <c r="H1272" s="268"/>
      <c r="I1272" s="268"/>
      <c r="J1272" s="269"/>
      <c r="K1272" s="269"/>
      <c r="L1272" s="269"/>
      <c r="M1272" s="319">
        <v>1</v>
      </c>
      <c r="N1272" s="271" t="s">
        <v>84</v>
      </c>
      <c r="O1272" s="272">
        <v>1</v>
      </c>
      <c r="P1272" s="271"/>
      <c r="Q1272" s="273">
        <v>16</v>
      </c>
      <c r="R1272" s="271" t="s">
        <v>112</v>
      </c>
      <c r="S1272" s="290">
        <f t="shared" ref="S1272:S1289" si="953">O1272*Q1272</f>
        <v>16</v>
      </c>
      <c r="T1272" s="275">
        <v>1</v>
      </c>
      <c r="U1272" s="290">
        <f t="shared" si="941"/>
        <v>17</v>
      </c>
      <c r="V1272" s="276" t="s">
        <v>48</v>
      </c>
    </row>
    <row r="1273" spans="1:22" s="172" customFormat="1" ht="20.25" customHeight="1">
      <c r="A1273" s="263" t="str">
        <f t="shared" si="934"/>
        <v/>
      </c>
      <c r="B1273" s="263"/>
      <c r="C1273" s="264">
        <f t="shared" si="921"/>
        <v>1262</v>
      </c>
      <c r="D1273" s="277" t="s">
        <v>1815</v>
      </c>
      <c r="E1273" s="293">
        <f>C1272</f>
        <v>1261</v>
      </c>
      <c r="F1273" s="267" t="s">
        <v>656</v>
      </c>
      <c r="G1273" s="267"/>
      <c r="H1273" s="268"/>
      <c r="I1273" s="268"/>
      <c r="J1273" s="316">
        <v>9178</v>
      </c>
      <c r="K1273" s="322" t="s">
        <v>1835</v>
      </c>
      <c r="L1273" s="367" t="str">
        <f t="shared" ref="L1273:L1277" si="954">J1273&amp;" "&amp;K1273</f>
        <v>9178 lg</v>
      </c>
      <c r="M1273" s="319">
        <v>1</v>
      </c>
      <c r="N1273" s="271" t="s">
        <v>84</v>
      </c>
      <c r="O1273" s="272">
        <v>1</v>
      </c>
      <c r="P1273" s="271" t="s">
        <v>661</v>
      </c>
      <c r="Q1273" s="273">
        <v>12</v>
      </c>
      <c r="R1273" s="271" t="s">
        <v>112</v>
      </c>
      <c r="S1273" s="290">
        <f t="shared" si="953"/>
        <v>12</v>
      </c>
      <c r="T1273" s="275">
        <v>1</v>
      </c>
      <c r="U1273" s="290">
        <f t="shared" si="941"/>
        <v>13</v>
      </c>
      <c r="V1273" s="276" t="s">
        <v>48</v>
      </c>
    </row>
    <row r="1274" spans="1:22" s="172" customFormat="1" ht="20.25" customHeight="1">
      <c r="A1274" s="263" t="str">
        <f t="shared" si="934"/>
        <v/>
      </c>
      <c r="B1274" s="263"/>
      <c r="C1274" s="264">
        <f t="shared" si="921"/>
        <v>1263</v>
      </c>
      <c r="D1274" s="277" t="s">
        <v>1816</v>
      </c>
      <c r="E1274" s="293">
        <f>C1273</f>
        <v>1262</v>
      </c>
      <c r="F1274" s="267" t="s">
        <v>348</v>
      </c>
      <c r="G1274" s="267"/>
      <c r="H1274" s="268"/>
      <c r="I1274" s="268"/>
      <c r="J1274" s="316">
        <v>9178</v>
      </c>
      <c r="K1274" s="322" t="s">
        <v>1835</v>
      </c>
      <c r="L1274" s="367" t="str">
        <f t="shared" si="954"/>
        <v>9178 lg</v>
      </c>
      <c r="M1274" s="319">
        <v>1</v>
      </c>
      <c r="N1274" s="271" t="s">
        <v>84</v>
      </c>
      <c r="O1274" s="272">
        <v>1</v>
      </c>
      <c r="P1274" s="271" t="s">
        <v>661</v>
      </c>
      <c r="Q1274" s="273">
        <v>1</v>
      </c>
      <c r="R1274" s="271" t="s">
        <v>41</v>
      </c>
      <c r="S1274" s="290">
        <f t="shared" si="953"/>
        <v>1</v>
      </c>
      <c r="T1274" s="275">
        <v>0</v>
      </c>
      <c r="U1274" s="290">
        <f t="shared" si="941"/>
        <v>1</v>
      </c>
      <c r="V1274" s="276" t="s">
        <v>42</v>
      </c>
    </row>
    <row r="1275" spans="1:22" s="172" customFormat="1" ht="20.25" customHeight="1">
      <c r="A1275" s="263" t="str">
        <f t="shared" si="934"/>
        <v/>
      </c>
      <c r="B1275" s="263"/>
      <c r="C1275" s="264">
        <f t="shared" si="921"/>
        <v>1264</v>
      </c>
      <c r="D1275" s="277" t="s">
        <v>1817</v>
      </c>
      <c r="E1275" s="293">
        <f>C1274</f>
        <v>1263</v>
      </c>
      <c r="F1275" s="267" t="s">
        <v>640</v>
      </c>
      <c r="G1275" s="267"/>
      <c r="H1275" s="268"/>
      <c r="I1275" s="268"/>
      <c r="J1275" s="316">
        <v>9178</v>
      </c>
      <c r="K1275" s="322" t="s">
        <v>1835</v>
      </c>
      <c r="L1275" s="367" t="str">
        <f t="shared" si="954"/>
        <v>9178 lg</v>
      </c>
      <c r="M1275" s="319">
        <v>1</v>
      </c>
      <c r="N1275" s="271" t="s">
        <v>84</v>
      </c>
      <c r="O1275" s="272">
        <v>1</v>
      </c>
      <c r="P1275" s="271" t="s">
        <v>661</v>
      </c>
      <c r="Q1275" s="273">
        <v>12</v>
      </c>
      <c r="R1275" s="271" t="s">
        <v>112</v>
      </c>
      <c r="S1275" s="290">
        <f t="shared" si="953"/>
        <v>12</v>
      </c>
      <c r="T1275" s="275">
        <v>0</v>
      </c>
      <c r="U1275" s="290">
        <f t="shared" si="941"/>
        <v>12</v>
      </c>
      <c r="V1275" s="276" t="s">
        <v>48</v>
      </c>
    </row>
    <row r="1276" spans="1:22" s="172" customFormat="1" ht="20.25" customHeight="1">
      <c r="A1276" s="263" t="str">
        <f t="shared" si="934"/>
        <v/>
      </c>
      <c r="B1276" s="263"/>
      <c r="C1276" s="264">
        <f t="shared" si="921"/>
        <v>1265</v>
      </c>
      <c r="D1276" s="277" t="s">
        <v>1818</v>
      </c>
      <c r="E1276" s="293">
        <f>C1275</f>
        <v>1264</v>
      </c>
      <c r="F1276" s="267" t="s">
        <v>640</v>
      </c>
      <c r="G1276" s="267"/>
      <c r="H1276" s="268"/>
      <c r="I1276" s="268"/>
      <c r="J1276" s="316">
        <v>9178</v>
      </c>
      <c r="K1276" s="322" t="s">
        <v>1835</v>
      </c>
      <c r="L1276" s="367" t="str">
        <f t="shared" si="954"/>
        <v>9178 lg</v>
      </c>
      <c r="M1276" s="319">
        <v>1</v>
      </c>
      <c r="N1276" s="271" t="s">
        <v>84</v>
      </c>
      <c r="O1276" s="272">
        <v>1</v>
      </c>
      <c r="P1276" s="271" t="s">
        <v>661</v>
      </c>
      <c r="Q1276" s="273">
        <v>1</v>
      </c>
      <c r="R1276" s="271" t="s">
        <v>41</v>
      </c>
      <c r="S1276" s="290">
        <f t="shared" si="953"/>
        <v>1</v>
      </c>
      <c r="T1276" s="275">
        <v>0</v>
      </c>
      <c r="U1276" s="290">
        <f t="shared" si="941"/>
        <v>1</v>
      </c>
      <c r="V1276" s="276" t="s">
        <v>42</v>
      </c>
    </row>
    <row r="1277" spans="1:22" s="172" customFormat="1" ht="20.25" customHeight="1">
      <c r="A1277" s="263" t="str">
        <f t="shared" si="934"/>
        <v/>
      </c>
      <c r="B1277" s="263"/>
      <c r="C1277" s="264">
        <f t="shared" si="921"/>
        <v>1266</v>
      </c>
      <c r="D1277" s="277" t="s">
        <v>1819</v>
      </c>
      <c r="E1277" s="293">
        <f>C1276</f>
        <v>1265</v>
      </c>
      <c r="F1277" s="267" t="s">
        <v>640</v>
      </c>
      <c r="G1277" s="267"/>
      <c r="H1277" s="268"/>
      <c r="I1277" s="268"/>
      <c r="J1277" s="316">
        <v>9178</v>
      </c>
      <c r="K1277" s="322" t="s">
        <v>1835</v>
      </c>
      <c r="L1277" s="367" t="str">
        <f t="shared" si="954"/>
        <v>9178 lg</v>
      </c>
      <c r="M1277" s="319">
        <v>1</v>
      </c>
      <c r="N1277" s="271" t="s">
        <v>84</v>
      </c>
      <c r="O1277" s="272">
        <v>1</v>
      </c>
      <c r="P1277" s="271" t="s">
        <v>661</v>
      </c>
      <c r="Q1277" s="273">
        <v>6</v>
      </c>
      <c r="R1277" s="271" t="s">
        <v>112</v>
      </c>
      <c r="S1277" s="290">
        <f t="shared" si="953"/>
        <v>6</v>
      </c>
      <c r="T1277" s="275">
        <v>0</v>
      </c>
      <c r="U1277" s="290">
        <f t="shared" si="941"/>
        <v>6</v>
      </c>
      <c r="V1277" s="276" t="s">
        <v>48</v>
      </c>
    </row>
    <row r="1278" spans="1:22" s="172" customFormat="1" ht="21" customHeight="1">
      <c r="A1278" s="263">
        <f t="shared" si="934"/>
        <v>1267</v>
      </c>
      <c r="B1278" s="263" t="s">
        <v>1263</v>
      </c>
      <c r="C1278" s="264">
        <f t="shared" si="921"/>
        <v>1267</v>
      </c>
      <c r="D1278" s="265" t="s">
        <v>1820</v>
      </c>
      <c r="E1278" s="279">
        <f>C1271</f>
        <v>1260</v>
      </c>
      <c r="F1278" s="267"/>
      <c r="G1278" s="267"/>
      <c r="H1278" s="268"/>
      <c r="I1278" s="268"/>
      <c r="J1278" s="269"/>
      <c r="K1278" s="269"/>
      <c r="L1278" s="269"/>
      <c r="M1278" s="319"/>
      <c r="N1278" s="271"/>
      <c r="O1278" s="280"/>
      <c r="P1278" s="271"/>
      <c r="Q1278" s="281"/>
      <c r="R1278" s="271"/>
      <c r="S1278" s="312"/>
      <c r="T1278" s="282"/>
      <c r="U1278" s="312"/>
      <c r="V1278" s="276"/>
    </row>
    <row r="1279" spans="1:22" s="172" customFormat="1" ht="21" customHeight="1">
      <c r="A1279" s="263" t="str">
        <f t="shared" si="934"/>
        <v/>
      </c>
      <c r="B1279" s="263"/>
      <c r="C1279" s="264">
        <f t="shared" si="921"/>
        <v>1268</v>
      </c>
      <c r="D1279" s="277" t="s">
        <v>1821</v>
      </c>
      <c r="E1279" s="293"/>
      <c r="F1279" s="267" t="s">
        <v>640</v>
      </c>
      <c r="G1279" s="267"/>
      <c r="H1279" s="268"/>
      <c r="I1279" s="268"/>
      <c r="J1279" s="316">
        <v>9178</v>
      </c>
      <c r="K1279" s="322" t="s">
        <v>1835</v>
      </c>
      <c r="L1279" s="367" t="str">
        <f t="shared" ref="L1279:L1283" si="955">J1279&amp;" "&amp;K1279</f>
        <v>9178 lg</v>
      </c>
      <c r="M1279" s="319">
        <v>1</v>
      </c>
      <c r="N1279" s="271" t="s">
        <v>84</v>
      </c>
      <c r="O1279" s="272">
        <v>1</v>
      </c>
      <c r="P1279" s="271" t="s">
        <v>661</v>
      </c>
      <c r="Q1279" s="273">
        <v>16</v>
      </c>
      <c r="R1279" s="271" t="s">
        <v>112</v>
      </c>
      <c r="S1279" s="290">
        <f t="shared" ref="S1279" si="956">O1279*Q1279</f>
        <v>16</v>
      </c>
      <c r="T1279" s="275">
        <v>0</v>
      </c>
      <c r="U1279" s="290">
        <f t="shared" si="941"/>
        <v>16</v>
      </c>
      <c r="V1279" s="276" t="s">
        <v>48</v>
      </c>
    </row>
    <row r="1280" spans="1:22" s="172" customFormat="1" ht="20.25" customHeight="1">
      <c r="A1280" s="263" t="str">
        <f t="shared" si="934"/>
        <v/>
      </c>
      <c r="B1280" s="263"/>
      <c r="C1280" s="264">
        <f t="shared" si="921"/>
        <v>1269</v>
      </c>
      <c r="D1280" s="277" t="s">
        <v>1816</v>
      </c>
      <c r="E1280" s="293">
        <f>C1279</f>
        <v>1268</v>
      </c>
      <c r="F1280" s="267" t="s">
        <v>640</v>
      </c>
      <c r="G1280" s="267"/>
      <c r="H1280" s="268"/>
      <c r="I1280" s="268"/>
      <c r="J1280" s="316">
        <v>9178</v>
      </c>
      <c r="K1280" s="322" t="s">
        <v>1835</v>
      </c>
      <c r="L1280" s="367" t="str">
        <f t="shared" si="955"/>
        <v>9178 lg</v>
      </c>
      <c r="M1280" s="319">
        <v>1</v>
      </c>
      <c r="N1280" s="271" t="s">
        <v>84</v>
      </c>
      <c r="O1280" s="272">
        <v>1</v>
      </c>
      <c r="P1280" s="271" t="s">
        <v>661</v>
      </c>
      <c r="Q1280" s="273">
        <v>6</v>
      </c>
      <c r="R1280" s="271" t="s">
        <v>112</v>
      </c>
      <c r="S1280" s="290">
        <f t="shared" si="953"/>
        <v>6</v>
      </c>
      <c r="T1280" s="275">
        <v>0</v>
      </c>
      <c r="U1280" s="290">
        <f t="shared" si="941"/>
        <v>6</v>
      </c>
      <c r="V1280" s="276" t="s">
        <v>48</v>
      </c>
    </row>
    <row r="1281" spans="1:22" s="172" customFormat="1" ht="20.25" customHeight="1">
      <c r="A1281" s="263" t="str">
        <f t="shared" si="934"/>
        <v/>
      </c>
      <c r="B1281" s="263"/>
      <c r="C1281" s="264">
        <f t="shared" si="921"/>
        <v>1270</v>
      </c>
      <c r="D1281" s="277" t="s">
        <v>1820</v>
      </c>
      <c r="E1281" s="293">
        <f>C1280</f>
        <v>1269</v>
      </c>
      <c r="F1281" s="267" t="s">
        <v>640</v>
      </c>
      <c r="G1281" s="267"/>
      <c r="H1281" s="268"/>
      <c r="I1281" s="268"/>
      <c r="J1281" s="316">
        <v>9178</v>
      </c>
      <c r="K1281" s="322" t="s">
        <v>1835</v>
      </c>
      <c r="L1281" s="367" t="str">
        <f t="shared" si="955"/>
        <v>9178 lg</v>
      </c>
      <c r="M1281" s="319">
        <v>1</v>
      </c>
      <c r="N1281" s="271" t="s">
        <v>84</v>
      </c>
      <c r="O1281" s="272">
        <v>1</v>
      </c>
      <c r="P1281" s="271" t="s">
        <v>661</v>
      </c>
      <c r="Q1281" s="273">
        <v>12</v>
      </c>
      <c r="R1281" s="271" t="s">
        <v>112</v>
      </c>
      <c r="S1281" s="290">
        <f t="shared" si="953"/>
        <v>12</v>
      </c>
      <c r="T1281" s="275">
        <v>0</v>
      </c>
      <c r="U1281" s="290">
        <f t="shared" si="941"/>
        <v>12</v>
      </c>
      <c r="V1281" s="276" t="s">
        <v>48</v>
      </c>
    </row>
    <row r="1282" spans="1:22" s="172" customFormat="1" ht="20.25" customHeight="1">
      <c r="A1282" s="263" t="str">
        <f t="shared" si="934"/>
        <v/>
      </c>
      <c r="B1282" s="263"/>
      <c r="C1282" s="264">
        <f t="shared" si="921"/>
        <v>1271</v>
      </c>
      <c r="D1282" s="277" t="s">
        <v>1822</v>
      </c>
      <c r="E1282" s="293">
        <f t="shared" ref="E1282:E1283" si="957">C1281</f>
        <v>1270</v>
      </c>
      <c r="F1282" s="267" t="s">
        <v>640</v>
      </c>
      <c r="G1282" s="267"/>
      <c r="H1282" s="268"/>
      <c r="I1282" s="268"/>
      <c r="J1282" s="316">
        <v>9178</v>
      </c>
      <c r="K1282" s="322" t="s">
        <v>1835</v>
      </c>
      <c r="L1282" s="367" t="str">
        <f t="shared" si="955"/>
        <v>9178 lg</v>
      </c>
      <c r="M1282" s="319">
        <v>1</v>
      </c>
      <c r="N1282" s="271" t="s">
        <v>84</v>
      </c>
      <c r="O1282" s="272">
        <v>1</v>
      </c>
      <c r="P1282" s="271" t="s">
        <v>661</v>
      </c>
      <c r="Q1282" s="273">
        <v>1</v>
      </c>
      <c r="R1282" s="271" t="s">
        <v>41</v>
      </c>
      <c r="S1282" s="290">
        <f t="shared" si="953"/>
        <v>1</v>
      </c>
      <c r="T1282" s="275">
        <v>0</v>
      </c>
      <c r="U1282" s="290">
        <f t="shared" si="941"/>
        <v>1</v>
      </c>
      <c r="V1282" s="276" t="s">
        <v>42</v>
      </c>
    </row>
    <row r="1283" spans="1:22" s="172" customFormat="1" ht="20.25" customHeight="1">
      <c r="A1283" s="263" t="str">
        <f t="shared" si="934"/>
        <v/>
      </c>
      <c r="B1283" s="263"/>
      <c r="C1283" s="264">
        <f t="shared" si="921"/>
        <v>1272</v>
      </c>
      <c r="D1283" s="277" t="s">
        <v>1819</v>
      </c>
      <c r="E1283" s="293">
        <f t="shared" si="957"/>
        <v>1271</v>
      </c>
      <c r="F1283" s="267" t="s">
        <v>640</v>
      </c>
      <c r="G1283" s="267"/>
      <c r="H1283" s="268"/>
      <c r="I1283" s="268"/>
      <c r="J1283" s="316">
        <v>9178</v>
      </c>
      <c r="K1283" s="322" t="s">
        <v>1835</v>
      </c>
      <c r="L1283" s="367" t="str">
        <f t="shared" si="955"/>
        <v>9178 lg</v>
      </c>
      <c r="M1283" s="319">
        <v>1</v>
      </c>
      <c r="N1283" s="271" t="s">
        <v>84</v>
      </c>
      <c r="O1283" s="272">
        <v>1</v>
      </c>
      <c r="P1283" s="271" t="s">
        <v>661</v>
      </c>
      <c r="Q1283" s="273">
        <v>6</v>
      </c>
      <c r="R1283" s="271" t="s">
        <v>112</v>
      </c>
      <c r="S1283" s="290">
        <f t="shared" si="953"/>
        <v>6</v>
      </c>
      <c r="T1283" s="275">
        <v>0</v>
      </c>
      <c r="U1283" s="290">
        <f t="shared" si="941"/>
        <v>6</v>
      </c>
      <c r="V1283" s="276" t="s">
        <v>48</v>
      </c>
    </row>
    <row r="1284" spans="1:22" s="172" customFormat="1" ht="20.25" customHeight="1">
      <c r="A1284" s="263">
        <f t="shared" si="934"/>
        <v>1273</v>
      </c>
      <c r="B1284" s="263" t="s">
        <v>1263</v>
      </c>
      <c r="C1284" s="264">
        <f t="shared" si="921"/>
        <v>1273</v>
      </c>
      <c r="D1284" s="265" t="s">
        <v>1823</v>
      </c>
      <c r="E1284" s="279">
        <f>A1278</f>
        <v>1267</v>
      </c>
      <c r="F1284" s="267"/>
      <c r="G1284" s="267"/>
      <c r="H1284" s="268"/>
      <c r="I1284" s="268"/>
      <c r="J1284" s="269"/>
      <c r="K1284" s="269"/>
      <c r="L1284" s="269"/>
      <c r="M1284" s="319"/>
      <c r="N1284" s="271"/>
      <c r="O1284" s="280"/>
      <c r="P1284" s="271"/>
      <c r="Q1284" s="281"/>
      <c r="R1284" s="271"/>
      <c r="S1284" s="312"/>
      <c r="T1284" s="282"/>
      <c r="U1284" s="312"/>
      <c r="V1284" s="276"/>
    </row>
    <row r="1285" spans="1:22" s="172" customFormat="1" ht="20.25" customHeight="1">
      <c r="A1285" s="263" t="str">
        <f t="shared" si="934"/>
        <v/>
      </c>
      <c r="B1285" s="263"/>
      <c r="C1285" s="264">
        <f t="shared" ref="C1285:C1289" si="958">C1284+1</f>
        <v>1274</v>
      </c>
      <c r="D1285" s="277" t="s">
        <v>1824</v>
      </c>
      <c r="E1285" s="293"/>
      <c r="F1285" s="267" t="s">
        <v>640</v>
      </c>
      <c r="G1285" s="267"/>
      <c r="H1285" s="268"/>
      <c r="I1285" s="268"/>
      <c r="J1285" s="316">
        <v>9178</v>
      </c>
      <c r="K1285" s="322" t="s">
        <v>1835</v>
      </c>
      <c r="L1285" s="367" t="str">
        <f t="shared" ref="L1285" si="959">J1285&amp;" "&amp;K1285</f>
        <v>9178 lg</v>
      </c>
      <c r="M1285" s="319">
        <v>1</v>
      </c>
      <c r="N1285" s="271" t="s">
        <v>84</v>
      </c>
      <c r="O1285" s="272">
        <v>1</v>
      </c>
      <c r="P1285" s="271" t="s">
        <v>661</v>
      </c>
      <c r="Q1285" s="273">
        <v>12</v>
      </c>
      <c r="R1285" s="271" t="s">
        <v>112</v>
      </c>
      <c r="S1285" s="290">
        <f t="shared" si="953"/>
        <v>12</v>
      </c>
      <c r="T1285" s="275">
        <v>0</v>
      </c>
      <c r="U1285" s="290">
        <f t="shared" si="941"/>
        <v>12</v>
      </c>
      <c r="V1285" s="276" t="s">
        <v>48</v>
      </c>
    </row>
    <row r="1286" spans="1:22" s="172" customFormat="1" ht="20.25" customHeight="1">
      <c r="A1286" s="263">
        <f t="shared" si="934"/>
        <v>1275</v>
      </c>
      <c r="B1286" s="263" t="s">
        <v>1263</v>
      </c>
      <c r="C1286" s="264">
        <f t="shared" si="958"/>
        <v>1275</v>
      </c>
      <c r="D1286" s="265" t="s">
        <v>1825</v>
      </c>
      <c r="E1286" s="279">
        <f>A1284</f>
        <v>1273</v>
      </c>
      <c r="F1286" s="267"/>
      <c r="G1286" s="267"/>
      <c r="H1286" s="268"/>
      <c r="I1286" s="268"/>
      <c r="J1286" s="269"/>
      <c r="K1286" s="269"/>
      <c r="L1286" s="269"/>
      <c r="M1286" s="319"/>
      <c r="N1286" s="271"/>
      <c r="O1286" s="280"/>
      <c r="P1286" s="271"/>
      <c r="Q1286" s="281"/>
      <c r="R1286" s="271"/>
      <c r="S1286" s="312"/>
      <c r="T1286" s="282"/>
      <c r="U1286" s="312"/>
      <c r="V1286" s="276"/>
    </row>
    <row r="1287" spans="1:22" s="172" customFormat="1" ht="20.25" customHeight="1">
      <c r="A1287" s="263" t="str">
        <f t="shared" si="934"/>
        <v/>
      </c>
      <c r="B1287" s="263"/>
      <c r="C1287" s="264">
        <f t="shared" si="958"/>
        <v>1276</v>
      </c>
      <c r="D1287" s="277" t="s">
        <v>1826</v>
      </c>
      <c r="E1287" s="293"/>
      <c r="F1287" s="267" t="s">
        <v>640</v>
      </c>
      <c r="G1287" s="267"/>
      <c r="H1287" s="268"/>
      <c r="I1287" s="268"/>
      <c r="J1287" s="316">
        <v>9178</v>
      </c>
      <c r="K1287" s="322" t="s">
        <v>1835</v>
      </c>
      <c r="L1287" s="367" t="str">
        <f t="shared" ref="L1287:L1289" si="960">J1287&amp;" "&amp;K1287</f>
        <v>9178 lg</v>
      </c>
      <c r="M1287" s="319">
        <v>1</v>
      </c>
      <c r="N1287" s="271" t="s">
        <v>84</v>
      </c>
      <c r="O1287" s="272">
        <v>1</v>
      </c>
      <c r="P1287" s="271" t="s">
        <v>661</v>
      </c>
      <c r="Q1287" s="273">
        <v>1</v>
      </c>
      <c r="R1287" s="271" t="s">
        <v>41</v>
      </c>
      <c r="S1287" s="290">
        <f t="shared" si="953"/>
        <v>1</v>
      </c>
      <c r="T1287" s="275">
        <v>0</v>
      </c>
      <c r="U1287" s="290">
        <f t="shared" si="941"/>
        <v>1</v>
      </c>
      <c r="V1287" s="276" t="s">
        <v>42</v>
      </c>
    </row>
    <row r="1288" spans="1:22" s="172" customFormat="1" ht="20.25" customHeight="1">
      <c r="A1288" s="263" t="str">
        <f t="shared" si="934"/>
        <v/>
      </c>
      <c r="B1288" s="263"/>
      <c r="C1288" s="264">
        <f t="shared" si="958"/>
        <v>1277</v>
      </c>
      <c r="D1288" s="277" t="s">
        <v>1827</v>
      </c>
      <c r="E1288" s="293">
        <f>C1287</f>
        <v>1276</v>
      </c>
      <c r="F1288" s="267" t="s">
        <v>640</v>
      </c>
      <c r="G1288" s="267"/>
      <c r="H1288" s="268"/>
      <c r="I1288" s="268"/>
      <c r="J1288" s="316">
        <v>9178</v>
      </c>
      <c r="K1288" s="322" t="s">
        <v>1835</v>
      </c>
      <c r="L1288" s="367" t="str">
        <f t="shared" si="960"/>
        <v>9178 lg</v>
      </c>
      <c r="M1288" s="319">
        <v>1</v>
      </c>
      <c r="N1288" s="271" t="s">
        <v>84</v>
      </c>
      <c r="O1288" s="272">
        <v>1</v>
      </c>
      <c r="P1288" s="271" t="s">
        <v>661</v>
      </c>
      <c r="Q1288" s="273">
        <v>1</v>
      </c>
      <c r="R1288" s="271" t="s">
        <v>41</v>
      </c>
      <c r="S1288" s="290">
        <f t="shared" si="953"/>
        <v>1</v>
      </c>
      <c r="T1288" s="275">
        <v>0</v>
      </c>
      <c r="U1288" s="290">
        <f t="shared" si="941"/>
        <v>1</v>
      </c>
      <c r="V1288" s="276" t="s">
        <v>42</v>
      </c>
    </row>
    <row r="1289" spans="1:22" s="172" customFormat="1" ht="20.25" customHeight="1">
      <c r="A1289" s="263" t="str">
        <f t="shared" si="934"/>
        <v/>
      </c>
      <c r="B1289" s="263"/>
      <c r="C1289" s="264">
        <f t="shared" si="958"/>
        <v>1278</v>
      </c>
      <c r="D1289" s="277" t="s">
        <v>1828</v>
      </c>
      <c r="E1289" s="293">
        <f>C1288</f>
        <v>1277</v>
      </c>
      <c r="F1289" s="267" t="s">
        <v>640</v>
      </c>
      <c r="G1289" s="267"/>
      <c r="H1289" s="268"/>
      <c r="I1289" s="268"/>
      <c r="J1289" s="316">
        <v>9178</v>
      </c>
      <c r="K1289" s="322" t="s">
        <v>1835</v>
      </c>
      <c r="L1289" s="367" t="str">
        <f>J1289&amp;" "&amp;K1289</f>
        <v>9178 lg</v>
      </c>
      <c r="M1289" s="319">
        <v>1</v>
      </c>
      <c r="N1289" s="271" t="s">
        <v>84</v>
      </c>
      <c r="O1289" s="272">
        <v>1</v>
      </c>
      <c r="P1289" s="271" t="s">
        <v>661</v>
      </c>
      <c r="Q1289" s="273">
        <v>1</v>
      </c>
      <c r="R1289" s="271" t="s">
        <v>41</v>
      </c>
      <c r="S1289" s="290">
        <f t="shared" si="953"/>
        <v>1</v>
      </c>
      <c r="T1289" s="275">
        <v>0</v>
      </c>
      <c r="U1289" s="290">
        <f t="shared" si="941"/>
        <v>1</v>
      </c>
      <c r="V1289" s="276" t="s">
        <v>42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J1:L1"/>
    <mergeCell ref="H1:I1"/>
    <mergeCell ref="M1:N1"/>
    <mergeCell ref="O1:P1"/>
    <mergeCell ref="Q1:R1"/>
    <mergeCell ref="S1:V1"/>
  </mergeCells>
  <hyperlinks>
    <hyperlink ref="H2" location="Legends!A1" display="Dimension"/>
    <hyperlink ref="M2" location="Legends!A1" display="Dimension"/>
    <hyperlink ref="K2" location="Legends!A1" display="Dimension"/>
    <hyperlink ref="J2" location="Legends!A1" display="Dimension"/>
    <hyperlink ref="L2" location="Legends!A1" display="Dimension"/>
  </hyperlinks>
  <pageMargins left="0.41944444444444401" right="0.27916666666666701" top="0.75" bottom="0.3" header="0.3" footer="0.3"/>
  <pageSetup paperSize="9" scale="80" orientation="landscape" r:id="rId1"/>
  <headerFooter>
    <oddFooter>&amp;C
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K1331"/>
  <sheetViews>
    <sheetView showGridLines="0" topLeftCell="B218" zoomScale="90" zoomScaleNormal="90" workbookViewId="0">
      <selection activeCell="N228" sqref="N228"/>
    </sheetView>
  </sheetViews>
  <sheetFormatPr defaultColWidth="9" defaultRowHeight="20.25" customHeight="1"/>
  <cols>
    <col min="1" max="1" width="7.265625" style="172" hidden="1" customWidth="1"/>
    <col min="2" max="2" width="4.86328125" style="172" customWidth="1"/>
    <col min="3" max="3" width="5.59765625" style="173" customWidth="1"/>
    <col min="4" max="4" width="5.86328125" style="174" customWidth="1"/>
    <col min="5" max="5" width="35.73046875" style="175" customWidth="1"/>
    <col min="6" max="6" width="10.3984375" style="176" customWidth="1"/>
    <col min="7" max="7" width="11.86328125" style="177" customWidth="1"/>
    <col min="8" max="8" width="6.59765625" style="177" customWidth="1"/>
    <col min="9" max="9" width="7.73046875" style="178" customWidth="1"/>
    <col min="10" max="10" width="12.73046875" style="178" customWidth="1"/>
    <col min="11" max="11" width="5" style="179" customWidth="1"/>
    <col min="12" max="12" width="6" style="178" customWidth="1"/>
    <col min="13" max="13" width="8.59765625" style="180" customWidth="1"/>
    <col min="14" max="14" width="7.265625" style="178" customWidth="1"/>
    <col min="15" max="15" width="6.59765625" style="181" customWidth="1"/>
    <col min="16" max="16" width="6.3984375" style="178" customWidth="1"/>
    <col min="17" max="17" width="8.86328125" style="178" customWidth="1"/>
    <col min="18" max="18" width="3.265625" style="182" customWidth="1"/>
    <col min="19" max="19" width="10.59765625" style="180" customWidth="1"/>
    <col min="20" max="20" width="5.1328125" style="179" customWidth="1"/>
    <col min="21" max="21" width="11.86328125" style="183" customWidth="1"/>
    <col min="22" max="16365" width="9" style="172"/>
    <col min="16366" max="16384" width="9" style="184"/>
  </cols>
  <sheetData>
    <row r="1" spans="3:21" s="171" customFormat="1" ht="34.5" customHeight="1">
      <c r="C1" s="185">
        <f>D1</f>
        <v>1</v>
      </c>
      <c r="D1" s="186">
        <v>1</v>
      </c>
      <c r="E1" s="187" t="s">
        <v>0</v>
      </c>
      <c r="F1" s="188"/>
      <c r="G1" s="189"/>
      <c r="H1" s="189" t="s">
        <v>1</v>
      </c>
      <c r="I1" s="200" t="s">
        <v>2</v>
      </c>
      <c r="J1" s="200" t="s">
        <v>3</v>
      </c>
      <c r="K1" s="200" t="s">
        <v>4</v>
      </c>
      <c r="L1" s="200" t="s">
        <v>5</v>
      </c>
      <c r="M1" s="201" t="s">
        <v>6</v>
      </c>
      <c r="N1" s="200" t="s">
        <v>5</v>
      </c>
      <c r="O1" s="202" t="s">
        <v>7</v>
      </c>
      <c r="P1" s="200" t="s">
        <v>5</v>
      </c>
      <c r="Q1" s="200" t="s">
        <v>8</v>
      </c>
      <c r="R1" s="223" t="s">
        <v>9</v>
      </c>
      <c r="S1" s="201" t="s">
        <v>10</v>
      </c>
      <c r="T1" s="224" t="s">
        <v>5</v>
      </c>
      <c r="U1" s="225"/>
    </row>
    <row r="2" spans="3:21" s="172" customFormat="1" ht="20.25" customHeight="1">
      <c r="C2" s="185">
        <f>D2</f>
        <v>2</v>
      </c>
      <c r="D2" s="190">
        <f>D1+1</f>
        <v>2</v>
      </c>
      <c r="E2" s="191" t="s">
        <v>11</v>
      </c>
      <c r="F2" s="192"/>
      <c r="G2" s="193"/>
      <c r="H2" s="193"/>
      <c r="I2" s="195"/>
      <c r="J2" s="195"/>
      <c r="K2" s="203"/>
      <c r="L2" s="195"/>
      <c r="M2" s="204"/>
      <c r="N2" s="195"/>
      <c r="O2" s="205"/>
      <c r="P2" s="195"/>
      <c r="Q2" s="195"/>
      <c r="R2" s="226"/>
      <c r="S2" s="204"/>
      <c r="T2" s="203"/>
      <c r="U2" s="183"/>
    </row>
    <row r="3" spans="3:21" s="172" customFormat="1" ht="20.25" customHeight="1">
      <c r="C3" s="185">
        <f t="shared" ref="C3:C26" si="0">D3</f>
        <v>3</v>
      </c>
      <c r="D3" s="190">
        <f t="shared" ref="D3:D66" si="1">D2+1</f>
        <v>3</v>
      </c>
      <c r="E3" s="194" t="s">
        <v>12</v>
      </c>
      <c r="F3" s="195"/>
      <c r="G3" s="193"/>
      <c r="H3" s="193"/>
      <c r="I3" s="195"/>
      <c r="J3" s="195"/>
      <c r="K3" s="203"/>
      <c r="L3" s="195"/>
      <c r="M3" s="204"/>
      <c r="N3" s="195"/>
      <c r="O3" s="205"/>
      <c r="P3" s="195"/>
      <c r="Q3" s="195"/>
      <c r="R3" s="226"/>
      <c r="S3" s="204"/>
      <c r="T3" s="203"/>
      <c r="U3" s="183"/>
    </row>
    <row r="4" spans="3:21" s="172" customFormat="1" ht="20.25" customHeight="1">
      <c r="C4" s="185">
        <f t="shared" si="0"/>
        <v>4</v>
      </c>
      <c r="D4" s="190">
        <f t="shared" si="1"/>
        <v>4</v>
      </c>
      <c r="E4" s="194" t="s">
        <v>13</v>
      </c>
      <c r="F4" s="195"/>
      <c r="G4" s="193"/>
      <c r="H4" s="193"/>
      <c r="I4" s="195"/>
      <c r="J4" s="195"/>
      <c r="K4" s="203"/>
      <c r="L4" s="195"/>
      <c r="M4" s="204"/>
      <c r="N4" s="195"/>
      <c r="O4" s="205"/>
      <c r="P4" s="195"/>
      <c r="Q4" s="195"/>
      <c r="R4" s="226"/>
      <c r="S4" s="204"/>
      <c r="T4" s="203"/>
      <c r="U4" s="183"/>
    </row>
    <row r="5" spans="3:21" s="172" customFormat="1" ht="20.25" customHeight="1">
      <c r="C5" s="185">
        <f t="shared" si="0"/>
        <v>5</v>
      </c>
      <c r="D5" s="190">
        <f t="shared" si="1"/>
        <v>5</v>
      </c>
      <c r="E5" s="194" t="s">
        <v>14</v>
      </c>
      <c r="F5" s="195"/>
      <c r="G5" s="193"/>
      <c r="H5" s="193"/>
      <c r="I5" s="195"/>
      <c r="J5" s="195"/>
      <c r="K5" s="203"/>
      <c r="L5" s="195"/>
      <c r="M5" s="204"/>
      <c r="N5" s="195"/>
      <c r="O5" s="205"/>
      <c r="P5" s="195"/>
      <c r="Q5" s="195"/>
      <c r="R5" s="226"/>
      <c r="S5" s="204"/>
      <c r="T5" s="203"/>
      <c r="U5" s="183"/>
    </row>
    <row r="6" spans="3:21" s="172" customFormat="1" ht="20.25" customHeight="1">
      <c r="C6" s="185">
        <f t="shared" si="0"/>
        <v>6</v>
      </c>
      <c r="D6" s="190">
        <f t="shared" si="1"/>
        <v>6</v>
      </c>
      <c r="E6" s="194" t="s">
        <v>15</v>
      </c>
      <c r="F6" s="195"/>
      <c r="G6" s="193"/>
      <c r="H6" s="193"/>
      <c r="I6" s="195"/>
      <c r="J6" s="195"/>
      <c r="K6" s="203"/>
      <c r="L6" s="195"/>
      <c r="M6" s="204"/>
      <c r="N6" s="195"/>
      <c r="O6" s="205"/>
      <c r="P6" s="195"/>
      <c r="Q6" s="195"/>
      <c r="R6" s="226"/>
      <c r="S6" s="204"/>
      <c r="T6" s="203"/>
      <c r="U6" s="183"/>
    </row>
    <row r="7" spans="3:21" s="172" customFormat="1" ht="20.25" customHeight="1">
      <c r="C7" s="185">
        <f t="shared" si="0"/>
        <v>7</v>
      </c>
      <c r="D7" s="190">
        <f t="shared" si="1"/>
        <v>7</v>
      </c>
      <c r="E7" s="194" t="s">
        <v>16</v>
      </c>
      <c r="F7" s="195"/>
      <c r="G7" s="193"/>
      <c r="H7" s="193"/>
      <c r="I7" s="195"/>
      <c r="J7" s="195"/>
      <c r="K7" s="203"/>
      <c r="L7" s="195"/>
      <c r="M7" s="204"/>
      <c r="N7" s="195"/>
      <c r="O7" s="205"/>
      <c r="P7" s="195"/>
      <c r="Q7" s="195"/>
      <c r="R7" s="226"/>
      <c r="S7" s="204"/>
      <c r="T7" s="203"/>
      <c r="U7" s="183"/>
    </row>
    <row r="8" spans="3:21" s="172" customFormat="1" ht="20.25" customHeight="1">
      <c r="C8" s="185">
        <f t="shared" si="0"/>
        <v>8</v>
      </c>
      <c r="D8" s="190">
        <f t="shared" si="1"/>
        <v>8</v>
      </c>
      <c r="E8" s="194" t="s">
        <v>17</v>
      </c>
      <c r="F8" s="195"/>
      <c r="G8" s="193"/>
      <c r="H8" s="193"/>
      <c r="I8" s="195"/>
      <c r="J8" s="195"/>
      <c r="K8" s="203"/>
      <c r="L8" s="195"/>
      <c r="M8" s="204"/>
      <c r="N8" s="195"/>
      <c r="O8" s="205"/>
      <c r="P8" s="195"/>
      <c r="Q8" s="195"/>
      <c r="R8" s="226"/>
      <c r="S8" s="204"/>
      <c r="T8" s="203"/>
      <c r="U8" s="183"/>
    </row>
    <row r="9" spans="3:21" s="172" customFormat="1" ht="20.25" customHeight="1">
      <c r="C9" s="185">
        <f t="shared" si="0"/>
        <v>9</v>
      </c>
      <c r="D9" s="190">
        <f t="shared" si="1"/>
        <v>9</v>
      </c>
      <c r="E9" s="194" t="s">
        <v>18</v>
      </c>
      <c r="F9" s="195"/>
      <c r="G9" s="193"/>
      <c r="H9" s="193"/>
      <c r="I9" s="195"/>
      <c r="J9" s="195"/>
      <c r="K9" s="203"/>
      <c r="L9" s="195"/>
      <c r="M9" s="204"/>
      <c r="N9" s="195"/>
      <c r="O9" s="205"/>
      <c r="P9" s="195"/>
      <c r="Q9" s="195"/>
      <c r="R9" s="226"/>
      <c r="S9" s="204"/>
      <c r="T9" s="203"/>
      <c r="U9" s="183"/>
    </row>
    <row r="10" spans="3:21" s="172" customFormat="1" ht="20.25" customHeight="1">
      <c r="C10" s="185">
        <f t="shared" si="0"/>
        <v>10</v>
      </c>
      <c r="D10" s="190">
        <f t="shared" si="1"/>
        <v>10</v>
      </c>
      <c r="E10" s="194" t="s">
        <v>19</v>
      </c>
      <c r="F10" s="195"/>
      <c r="G10" s="193"/>
      <c r="H10" s="193"/>
      <c r="I10" s="195"/>
      <c r="J10" s="195"/>
      <c r="K10" s="203"/>
      <c r="L10" s="195"/>
      <c r="M10" s="204"/>
      <c r="N10" s="195"/>
      <c r="O10" s="205"/>
      <c r="P10" s="195"/>
      <c r="Q10" s="195"/>
      <c r="R10" s="226"/>
      <c r="S10" s="204"/>
      <c r="T10" s="203"/>
      <c r="U10" s="183"/>
    </row>
    <row r="11" spans="3:21" s="172" customFormat="1" ht="20.25" customHeight="1">
      <c r="C11" s="185">
        <f t="shared" si="0"/>
        <v>11</v>
      </c>
      <c r="D11" s="190">
        <f t="shared" si="1"/>
        <v>11</v>
      </c>
      <c r="E11" s="194" t="s">
        <v>20</v>
      </c>
      <c r="F11" s="195"/>
      <c r="G11" s="193"/>
      <c r="H11" s="193"/>
      <c r="I11" s="195"/>
      <c r="J11" s="195"/>
      <c r="K11" s="203"/>
      <c r="L11" s="195"/>
      <c r="M11" s="204"/>
      <c r="N11" s="195"/>
      <c r="O11" s="205"/>
      <c r="P11" s="195"/>
      <c r="Q11" s="195"/>
      <c r="R11" s="226"/>
      <c r="S11" s="204"/>
      <c r="T11" s="203"/>
      <c r="U11" s="183"/>
    </row>
    <row r="12" spans="3:21" s="172" customFormat="1" ht="20.25" customHeight="1">
      <c r="C12" s="185">
        <f t="shared" si="0"/>
        <v>12</v>
      </c>
      <c r="D12" s="190">
        <f t="shared" si="1"/>
        <v>12</v>
      </c>
      <c r="E12" s="194" t="s">
        <v>21</v>
      </c>
      <c r="F12" s="195"/>
      <c r="G12" s="193"/>
      <c r="H12" s="193"/>
      <c r="I12" s="195"/>
      <c r="J12" s="195"/>
      <c r="K12" s="203"/>
      <c r="L12" s="195"/>
      <c r="M12" s="204"/>
      <c r="N12" s="195"/>
      <c r="O12" s="205"/>
      <c r="P12" s="195"/>
      <c r="Q12" s="195"/>
      <c r="R12" s="226"/>
      <c r="S12" s="204"/>
      <c r="T12" s="203"/>
      <c r="U12" s="183"/>
    </row>
    <row r="13" spans="3:21" s="172" customFormat="1" ht="20.25" customHeight="1">
      <c r="C13" s="185">
        <f t="shared" si="0"/>
        <v>13</v>
      </c>
      <c r="D13" s="190">
        <f t="shared" si="1"/>
        <v>13</v>
      </c>
      <c r="E13" s="194" t="s">
        <v>22</v>
      </c>
      <c r="F13" s="195"/>
      <c r="G13" s="193"/>
      <c r="H13" s="193"/>
      <c r="I13" s="195"/>
      <c r="J13" s="195"/>
      <c r="K13" s="203"/>
      <c r="L13" s="195"/>
      <c r="M13" s="204"/>
      <c r="N13" s="195"/>
      <c r="O13" s="205"/>
      <c r="P13" s="195"/>
      <c r="Q13" s="195"/>
      <c r="R13" s="226"/>
      <c r="S13" s="204"/>
      <c r="T13" s="203"/>
      <c r="U13" s="183"/>
    </row>
    <row r="14" spans="3:21" s="172" customFormat="1" ht="20.25" customHeight="1">
      <c r="C14" s="185">
        <f t="shared" si="0"/>
        <v>14</v>
      </c>
      <c r="D14" s="190">
        <f t="shared" si="1"/>
        <v>14</v>
      </c>
      <c r="E14" s="194" t="s">
        <v>23</v>
      </c>
      <c r="F14" s="195"/>
      <c r="G14" s="193"/>
      <c r="H14" s="193"/>
      <c r="I14" s="195"/>
      <c r="J14" s="195"/>
      <c r="K14" s="203"/>
      <c r="L14" s="195"/>
      <c r="M14" s="204"/>
      <c r="N14" s="195"/>
      <c r="O14" s="205"/>
      <c r="P14" s="195"/>
      <c r="Q14" s="195"/>
      <c r="R14" s="226"/>
      <c r="S14" s="204"/>
      <c r="T14" s="203"/>
      <c r="U14" s="183"/>
    </row>
    <row r="15" spans="3:21" s="172" customFormat="1" ht="20.25" customHeight="1">
      <c r="C15" s="185">
        <f t="shared" si="0"/>
        <v>15</v>
      </c>
      <c r="D15" s="190">
        <f t="shared" si="1"/>
        <v>15</v>
      </c>
      <c r="E15" s="194" t="s">
        <v>24</v>
      </c>
      <c r="F15" s="195"/>
      <c r="G15" s="193"/>
      <c r="H15" s="193"/>
      <c r="I15" s="195"/>
      <c r="J15" s="195"/>
      <c r="K15" s="203"/>
      <c r="L15" s="195"/>
      <c r="M15" s="204"/>
      <c r="N15" s="195"/>
      <c r="O15" s="205"/>
      <c r="P15" s="195"/>
      <c r="Q15" s="195"/>
      <c r="R15" s="226"/>
      <c r="S15" s="204"/>
      <c r="T15" s="203"/>
      <c r="U15" s="183"/>
    </row>
    <row r="16" spans="3:21" s="172" customFormat="1" ht="20.25" customHeight="1">
      <c r="C16" s="185">
        <f t="shared" si="0"/>
        <v>16</v>
      </c>
      <c r="D16" s="190">
        <f t="shared" si="1"/>
        <v>16</v>
      </c>
      <c r="E16" s="194" t="s">
        <v>25</v>
      </c>
      <c r="F16" s="195"/>
      <c r="G16" s="193"/>
      <c r="H16" s="193"/>
      <c r="I16" s="195"/>
      <c r="J16" s="195"/>
      <c r="K16" s="203"/>
      <c r="L16" s="195"/>
      <c r="M16" s="204"/>
      <c r="N16" s="195"/>
      <c r="O16" s="205"/>
      <c r="P16" s="195"/>
      <c r="Q16" s="195"/>
      <c r="R16" s="226"/>
      <c r="S16" s="204"/>
      <c r="T16" s="203"/>
      <c r="U16" s="183"/>
    </row>
    <row r="17" spans="3:21" s="172" customFormat="1" ht="20.25" customHeight="1">
      <c r="C17" s="185">
        <f t="shared" si="0"/>
        <v>17</v>
      </c>
      <c r="D17" s="190">
        <f t="shared" si="1"/>
        <v>17</v>
      </c>
      <c r="E17" s="194" t="s">
        <v>26</v>
      </c>
      <c r="F17" s="195"/>
      <c r="G17" s="193"/>
      <c r="H17" s="193"/>
      <c r="I17" s="195"/>
      <c r="J17" s="195"/>
      <c r="K17" s="203"/>
      <c r="L17" s="195"/>
      <c r="M17" s="204"/>
      <c r="N17" s="195"/>
      <c r="O17" s="205"/>
      <c r="P17" s="195"/>
      <c r="Q17" s="195"/>
      <c r="R17" s="226"/>
      <c r="S17" s="204"/>
      <c r="T17" s="203"/>
      <c r="U17" s="183"/>
    </row>
    <row r="18" spans="3:21" s="172" customFormat="1" ht="20.25" customHeight="1">
      <c r="C18" s="185">
        <f t="shared" si="0"/>
        <v>18</v>
      </c>
      <c r="D18" s="190">
        <f t="shared" si="1"/>
        <v>18</v>
      </c>
      <c r="E18" s="194" t="s">
        <v>27</v>
      </c>
      <c r="F18" s="195"/>
      <c r="G18" s="193"/>
      <c r="H18" s="193"/>
      <c r="I18" s="195"/>
      <c r="J18" s="195"/>
      <c r="K18" s="203"/>
      <c r="L18" s="195"/>
      <c r="M18" s="204"/>
      <c r="N18" s="195"/>
      <c r="O18" s="205"/>
      <c r="P18" s="195"/>
      <c r="Q18" s="195"/>
      <c r="R18" s="226"/>
      <c r="S18" s="204"/>
      <c r="T18" s="203"/>
      <c r="U18" s="183"/>
    </row>
    <row r="19" spans="3:21" s="172" customFormat="1" ht="20.25" customHeight="1">
      <c r="C19" s="185">
        <f t="shared" si="0"/>
        <v>19</v>
      </c>
      <c r="D19" s="190">
        <f t="shared" si="1"/>
        <v>19</v>
      </c>
      <c r="E19" s="194" t="s">
        <v>28</v>
      </c>
      <c r="F19" s="195"/>
      <c r="G19" s="193"/>
      <c r="H19" s="193"/>
      <c r="I19" s="195"/>
      <c r="J19" s="195"/>
      <c r="K19" s="203"/>
      <c r="L19" s="195"/>
      <c r="M19" s="204"/>
      <c r="N19" s="195"/>
      <c r="O19" s="205"/>
      <c r="P19" s="195"/>
      <c r="Q19" s="195"/>
      <c r="R19" s="226"/>
      <c r="S19" s="204"/>
      <c r="T19" s="203"/>
      <c r="U19" s="183"/>
    </row>
    <row r="20" spans="3:21" s="172" customFormat="1" ht="20.25" customHeight="1">
      <c r="C20" s="185">
        <f t="shared" si="0"/>
        <v>20</v>
      </c>
      <c r="D20" s="190">
        <f t="shared" si="1"/>
        <v>20</v>
      </c>
      <c r="E20" s="194" t="s">
        <v>29</v>
      </c>
      <c r="F20" s="195"/>
      <c r="G20" s="193"/>
      <c r="H20" s="193"/>
      <c r="I20" s="195"/>
      <c r="J20" s="195"/>
      <c r="K20" s="203"/>
      <c r="L20" s="195"/>
      <c r="M20" s="204"/>
      <c r="N20" s="195"/>
      <c r="O20" s="205"/>
      <c r="P20" s="195"/>
      <c r="Q20" s="195"/>
      <c r="R20" s="226"/>
      <c r="S20" s="204"/>
      <c r="T20" s="203"/>
      <c r="U20" s="183"/>
    </row>
    <row r="21" spans="3:21" s="172" customFormat="1" ht="20.25" customHeight="1">
      <c r="C21" s="185">
        <f t="shared" si="0"/>
        <v>21</v>
      </c>
      <c r="D21" s="190">
        <f t="shared" si="1"/>
        <v>21</v>
      </c>
      <c r="E21" s="194" t="s">
        <v>30</v>
      </c>
      <c r="F21" s="195"/>
      <c r="G21" s="193"/>
      <c r="H21" s="193"/>
      <c r="I21" s="195"/>
      <c r="J21" s="195"/>
      <c r="K21" s="203"/>
      <c r="L21" s="195"/>
      <c r="M21" s="204"/>
      <c r="N21" s="195"/>
      <c r="O21" s="205"/>
      <c r="P21" s="195"/>
      <c r="Q21" s="195"/>
      <c r="R21" s="226"/>
      <c r="S21" s="204"/>
      <c r="T21" s="203"/>
      <c r="U21" s="183"/>
    </row>
    <row r="22" spans="3:21" s="172" customFormat="1" ht="20.25" customHeight="1">
      <c r="C22" s="185">
        <f t="shared" si="0"/>
        <v>22</v>
      </c>
      <c r="D22" s="190">
        <f t="shared" si="1"/>
        <v>22</v>
      </c>
      <c r="E22" s="194" t="s">
        <v>31</v>
      </c>
      <c r="F22" s="195"/>
      <c r="G22" s="193"/>
      <c r="H22" s="193"/>
      <c r="I22" s="195"/>
      <c r="J22" s="195"/>
      <c r="K22" s="203"/>
      <c r="L22" s="195"/>
      <c r="M22" s="204"/>
      <c r="N22" s="195"/>
      <c r="O22" s="205"/>
      <c r="P22" s="195"/>
      <c r="Q22" s="195"/>
      <c r="R22" s="226"/>
      <c r="S22" s="204"/>
      <c r="T22" s="203"/>
      <c r="U22" s="183"/>
    </row>
    <row r="23" spans="3:21" s="172" customFormat="1" ht="20.25" customHeight="1">
      <c r="C23" s="185">
        <f t="shared" si="0"/>
        <v>23</v>
      </c>
      <c r="D23" s="190">
        <f t="shared" si="1"/>
        <v>23</v>
      </c>
      <c r="E23" s="194" t="s">
        <v>32</v>
      </c>
      <c r="F23" s="195"/>
      <c r="G23" s="193"/>
      <c r="H23" s="193"/>
      <c r="I23" s="195"/>
      <c r="J23" s="195"/>
      <c r="K23" s="203"/>
      <c r="L23" s="195"/>
      <c r="M23" s="204"/>
      <c r="N23" s="195"/>
      <c r="O23" s="205"/>
      <c r="P23" s="195"/>
      <c r="Q23" s="195"/>
      <c r="R23" s="226"/>
      <c r="S23" s="204"/>
      <c r="T23" s="203"/>
      <c r="U23" s="183"/>
    </row>
    <row r="24" spans="3:21" s="172" customFormat="1" ht="20.25" customHeight="1">
      <c r="C24" s="185">
        <f t="shared" si="0"/>
        <v>24</v>
      </c>
      <c r="D24" s="190">
        <f t="shared" si="1"/>
        <v>24</v>
      </c>
      <c r="E24" s="194" t="s">
        <v>33</v>
      </c>
      <c r="F24" s="195"/>
      <c r="G24" s="193"/>
      <c r="H24" s="193"/>
      <c r="I24" s="195"/>
      <c r="J24" s="195"/>
      <c r="K24" s="203"/>
      <c r="L24" s="195"/>
      <c r="M24" s="204"/>
      <c r="N24" s="195"/>
      <c r="O24" s="205"/>
      <c r="P24" s="195"/>
      <c r="Q24" s="195"/>
      <c r="R24" s="226"/>
      <c r="S24" s="204"/>
      <c r="T24" s="203"/>
      <c r="U24" s="183"/>
    </row>
    <row r="25" spans="3:21" s="172" customFormat="1" ht="20.25" customHeight="1">
      <c r="C25" s="185">
        <f t="shared" si="0"/>
        <v>25</v>
      </c>
      <c r="D25" s="190">
        <f t="shared" si="1"/>
        <v>25</v>
      </c>
      <c r="E25" s="194" t="s">
        <v>34</v>
      </c>
      <c r="F25" s="195"/>
      <c r="G25" s="193"/>
      <c r="H25" s="193"/>
      <c r="I25" s="195"/>
      <c r="J25" s="195"/>
      <c r="K25" s="203"/>
      <c r="L25" s="195"/>
      <c r="M25" s="204"/>
      <c r="N25" s="195"/>
      <c r="O25" s="205"/>
      <c r="P25" s="195"/>
      <c r="Q25" s="195"/>
      <c r="R25" s="226"/>
      <c r="S25" s="204"/>
      <c r="T25" s="203"/>
      <c r="U25" s="183"/>
    </row>
    <row r="26" spans="3:21" s="172" customFormat="1" ht="20.25" customHeight="1">
      <c r="C26" s="185">
        <f t="shared" si="0"/>
        <v>26</v>
      </c>
      <c r="D26" s="190">
        <f t="shared" si="1"/>
        <v>26</v>
      </c>
      <c r="E26" s="196" t="s">
        <v>35</v>
      </c>
      <c r="F26" s="197">
        <f>D9</f>
        <v>9</v>
      </c>
      <c r="G26" s="193"/>
      <c r="H26" s="193"/>
      <c r="I26" s="195"/>
      <c r="J26" s="195"/>
      <c r="K26" s="203"/>
      <c r="L26" s="195"/>
      <c r="M26" s="204"/>
      <c r="N26" s="195"/>
      <c r="O26" s="205"/>
      <c r="P26" s="195"/>
      <c r="Q26" s="195"/>
      <c r="R26" s="226"/>
      <c r="S26" s="204"/>
      <c r="T26" s="203"/>
      <c r="U26" s="183"/>
    </row>
    <row r="27" spans="3:21" s="172" customFormat="1" ht="20.25" customHeight="1">
      <c r="C27" s="185"/>
      <c r="D27" s="190">
        <f t="shared" si="1"/>
        <v>27</v>
      </c>
      <c r="E27" s="194" t="s">
        <v>36</v>
      </c>
      <c r="F27" s="195"/>
      <c r="G27" s="193" t="s">
        <v>37</v>
      </c>
      <c r="H27" s="193"/>
      <c r="I27" s="206">
        <v>24</v>
      </c>
      <c r="J27" s="207" t="s">
        <v>38</v>
      </c>
      <c r="K27" s="208">
        <v>1</v>
      </c>
      <c r="L27" s="207" t="s">
        <v>39</v>
      </c>
      <c r="M27" s="209">
        <v>1</v>
      </c>
      <c r="N27" s="207" t="s">
        <v>40</v>
      </c>
      <c r="O27" s="210">
        <v>4</v>
      </c>
      <c r="P27" s="207" t="s">
        <v>41</v>
      </c>
      <c r="Q27" s="227">
        <f>M27*O27</f>
        <v>4</v>
      </c>
      <c r="R27" s="228"/>
      <c r="S27" s="227">
        <f t="shared" ref="S27:S28" si="2">ROUND(Q27+R27,2)</f>
        <v>4</v>
      </c>
      <c r="T27" s="203" t="s">
        <v>42</v>
      </c>
      <c r="U27" s="183" t="str">
        <f>CONCATENATE(S27," ",T27)</f>
        <v>4 Days</v>
      </c>
    </row>
    <row r="28" spans="3:21" s="172" customFormat="1" ht="20.25" customHeight="1">
      <c r="C28" s="185"/>
      <c r="D28" s="190">
        <f t="shared" si="1"/>
        <v>28</v>
      </c>
      <c r="E28" s="194" t="s">
        <v>43</v>
      </c>
      <c r="F28" s="198">
        <f t="shared" ref="F28:F41" si="3">D27</f>
        <v>27</v>
      </c>
      <c r="G28" s="193" t="s">
        <v>44</v>
      </c>
      <c r="H28" s="193"/>
      <c r="I28" s="211">
        <v>24</v>
      </c>
      <c r="J28" s="212" t="s">
        <v>45</v>
      </c>
      <c r="K28" s="213">
        <v>1</v>
      </c>
      <c r="L28" s="195" t="s">
        <v>39</v>
      </c>
      <c r="M28" s="214">
        <f>LEFT(J28,SEARCH(" ",J28,1)-1)*K28*0.001</f>
        <v>6.7229999999999999</v>
      </c>
      <c r="N28" s="215" t="s">
        <v>46</v>
      </c>
      <c r="O28" s="216">
        <f>VLOOKUP(I28,BM!$B$3:$Y$62,2,FALSE)</f>
        <v>0.1</v>
      </c>
      <c r="P28" s="217" t="s">
        <v>47</v>
      </c>
      <c r="Q28" s="227">
        <f t="shared" ref="Q28:Q91" si="4">M28*O28</f>
        <v>0.67230000000000001</v>
      </c>
      <c r="R28" s="229">
        <v>1</v>
      </c>
      <c r="S28" s="227">
        <f t="shared" si="2"/>
        <v>1.67</v>
      </c>
      <c r="T28" s="230" t="s">
        <v>48</v>
      </c>
      <c r="U28" s="183" t="str">
        <f t="shared" ref="U28:U91" si="5">CONCATENATE(S28," ",T28)</f>
        <v>1.67 Hrs</v>
      </c>
    </row>
    <row r="29" spans="3:21" s="172" customFormat="1" ht="20.25" customHeight="1">
      <c r="C29" s="185"/>
      <c r="D29" s="190">
        <f t="shared" si="1"/>
        <v>29</v>
      </c>
      <c r="E29" s="194" t="s">
        <v>49</v>
      </c>
      <c r="F29" s="198">
        <f t="shared" si="3"/>
        <v>28</v>
      </c>
      <c r="G29" s="193" t="s">
        <v>44</v>
      </c>
      <c r="H29" s="193"/>
      <c r="I29" s="211">
        <v>24</v>
      </c>
      <c r="J29" s="198"/>
      <c r="K29" s="218">
        <v>1</v>
      </c>
      <c r="L29" s="195" t="s">
        <v>50</v>
      </c>
      <c r="M29" s="214">
        <v>1</v>
      </c>
      <c r="N29" s="195" t="s">
        <v>39</v>
      </c>
      <c r="O29" s="216">
        <v>1</v>
      </c>
      <c r="P29" s="195" t="s">
        <v>41</v>
      </c>
      <c r="Q29" s="227">
        <v>1</v>
      </c>
      <c r="R29" s="226"/>
      <c r="S29" s="227">
        <f t="shared" ref="S29:S91" si="6">ROUND(Q29+R29,2)</f>
        <v>1</v>
      </c>
      <c r="T29" s="203" t="s">
        <v>42</v>
      </c>
      <c r="U29" s="183" t="str">
        <f t="shared" si="5"/>
        <v>1 Days</v>
      </c>
    </row>
    <row r="30" spans="3:21" s="172" customFormat="1" ht="20.25" customHeight="1">
      <c r="C30" s="185"/>
      <c r="D30" s="190">
        <f t="shared" si="1"/>
        <v>30</v>
      </c>
      <c r="E30" s="194" t="s">
        <v>51</v>
      </c>
      <c r="F30" s="198">
        <f t="shared" si="3"/>
        <v>29</v>
      </c>
      <c r="G30" s="193" t="s">
        <v>52</v>
      </c>
      <c r="H30" s="193"/>
      <c r="I30" s="211">
        <v>24</v>
      </c>
      <c r="J30" s="198" t="str">
        <f>J28</f>
        <v>6723 MM</v>
      </c>
      <c r="K30" s="218">
        <v>1</v>
      </c>
      <c r="L30" s="195" t="s">
        <v>50</v>
      </c>
      <c r="M30" s="214">
        <f>LEFT(J30,SEARCH(" ",J30,1)-1)*K30*0.001</f>
        <v>6.7229999999999999</v>
      </c>
      <c r="N30" s="195" t="s">
        <v>46</v>
      </c>
      <c r="O30" s="216">
        <f>VLOOKUP(I30,BM!$B$3:$Y$62,3,FALSE)</f>
        <v>0.25</v>
      </c>
      <c r="P30" s="217" t="s">
        <v>53</v>
      </c>
      <c r="Q30" s="227">
        <f t="shared" si="4"/>
        <v>1.68075</v>
      </c>
      <c r="R30" s="229">
        <v>1</v>
      </c>
      <c r="S30" s="227">
        <f t="shared" si="6"/>
        <v>2.68</v>
      </c>
      <c r="T30" s="230" t="s">
        <v>48</v>
      </c>
      <c r="U30" s="183" t="str">
        <f t="shared" si="5"/>
        <v>2.68 Hrs</v>
      </c>
    </row>
    <row r="31" spans="3:21" s="172" customFormat="1" ht="20.25" customHeight="1">
      <c r="C31" s="185"/>
      <c r="D31" s="190">
        <f t="shared" si="1"/>
        <v>31</v>
      </c>
      <c r="E31" s="194" t="s">
        <v>54</v>
      </c>
      <c r="F31" s="198">
        <f t="shared" si="3"/>
        <v>30</v>
      </c>
      <c r="G31" s="193" t="s">
        <v>55</v>
      </c>
      <c r="H31" s="193"/>
      <c r="I31" s="211">
        <v>24</v>
      </c>
      <c r="J31" s="198" t="str">
        <f>J30</f>
        <v>6723 MM</v>
      </c>
      <c r="K31" s="218">
        <v>1</v>
      </c>
      <c r="L31" s="195" t="s">
        <v>50</v>
      </c>
      <c r="M31" s="214">
        <v>1</v>
      </c>
      <c r="N31" s="195" t="s">
        <v>39</v>
      </c>
      <c r="O31" s="219">
        <v>10</v>
      </c>
      <c r="P31" s="217" t="s">
        <v>41</v>
      </c>
      <c r="Q31" s="227">
        <f t="shared" si="4"/>
        <v>10</v>
      </c>
      <c r="R31" s="229"/>
      <c r="S31" s="227">
        <f t="shared" si="6"/>
        <v>10</v>
      </c>
      <c r="T31" s="203" t="s">
        <v>42</v>
      </c>
      <c r="U31" s="183" t="str">
        <f t="shared" si="5"/>
        <v>10 Days</v>
      </c>
    </row>
    <row r="32" spans="3:21" s="172" customFormat="1" ht="20.25" customHeight="1">
      <c r="C32" s="185"/>
      <c r="D32" s="190">
        <f t="shared" si="1"/>
        <v>32</v>
      </c>
      <c r="E32" s="194" t="s">
        <v>56</v>
      </c>
      <c r="F32" s="198">
        <f t="shared" si="3"/>
        <v>31</v>
      </c>
      <c r="G32" s="193" t="s">
        <v>44</v>
      </c>
      <c r="H32" s="193"/>
      <c r="I32" s="211">
        <v>24</v>
      </c>
      <c r="J32" s="198" t="str">
        <f t="shared" ref="J32:J38" si="7">J31</f>
        <v>6723 MM</v>
      </c>
      <c r="K32" s="218">
        <v>1</v>
      </c>
      <c r="L32" s="195" t="s">
        <v>50</v>
      </c>
      <c r="M32" s="204">
        <v>1</v>
      </c>
      <c r="N32" s="195" t="s">
        <v>39</v>
      </c>
      <c r="O32" s="219">
        <v>1</v>
      </c>
      <c r="P32" s="217" t="s">
        <v>41</v>
      </c>
      <c r="Q32" s="227">
        <f t="shared" si="4"/>
        <v>1</v>
      </c>
      <c r="R32" s="229"/>
      <c r="S32" s="227">
        <f t="shared" si="6"/>
        <v>1</v>
      </c>
      <c r="T32" s="203" t="s">
        <v>42</v>
      </c>
      <c r="U32" s="183" t="str">
        <f t="shared" si="5"/>
        <v>1 Days</v>
      </c>
    </row>
    <row r="33" spans="3:21" s="172" customFormat="1" ht="20.25" customHeight="1">
      <c r="C33" s="185"/>
      <c r="D33" s="190">
        <f t="shared" si="1"/>
        <v>33</v>
      </c>
      <c r="E33" s="194" t="s">
        <v>57</v>
      </c>
      <c r="F33" s="198">
        <f t="shared" si="3"/>
        <v>32</v>
      </c>
      <c r="G33" s="193" t="s">
        <v>55</v>
      </c>
      <c r="H33" s="193"/>
      <c r="I33" s="211">
        <v>24</v>
      </c>
      <c r="J33" s="198" t="str">
        <f t="shared" si="7"/>
        <v>6723 MM</v>
      </c>
      <c r="K33" s="218">
        <v>1</v>
      </c>
      <c r="L33" s="195" t="s">
        <v>50</v>
      </c>
      <c r="M33" s="204">
        <v>1</v>
      </c>
      <c r="N33" s="195" t="s">
        <v>39</v>
      </c>
      <c r="O33" s="219">
        <v>1</v>
      </c>
      <c r="P33" s="217" t="s">
        <v>41</v>
      </c>
      <c r="Q33" s="227">
        <f t="shared" si="4"/>
        <v>1</v>
      </c>
      <c r="R33" s="229"/>
      <c r="S33" s="227">
        <f t="shared" si="6"/>
        <v>1</v>
      </c>
      <c r="T33" s="203" t="s">
        <v>42</v>
      </c>
      <c r="U33" s="183" t="str">
        <f t="shared" si="5"/>
        <v>1 Days</v>
      </c>
    </row>
    <row r="34" spans="3:21" s="172" customFormat="1" ht="20.25" customHeight="1">
      <c r="C34" s="185"/>
      <c r="D34" s="190">
        <f t="shared" si="1"/>
        <v>34</v>
      </c>
      <c r="E34" s="194" t="s">
        <v>58</v>
      </c>
      <c r="F34" s="198">
        <f t="shared" si="3"/>
        <v>33</v>
      </c>
      <c r="G34" s="193" t="s">
        <v>55</v>
      </c>
      <c r="H34" s="193"/>
      <c r="I34" s="211">
        <v>24</v>
      </c>
      <c r="J34" s="198" t="str">
        <f t="shared" si="7"/>
        <v>6723 MM</v>
      </c>
      <c r="K34" s="218">
        <v>1</v>
      </c>
      <c r="L34" s="195" t="s">
        <v>50</v>
      </c>
      <c r="M34" s="204">
        <v>1</v>
      </c>
      <c r="N34" s="195" t="s">
        <v>39</v>
      </c>
      <c r="O34" s="219">
        <v>4</v>
      </c>
      <c r="P34" s="217" t="s">
        <v>41</v>
      </c>
      <c r="Q34" s="227">
        <f t="shared" si="4"/>
        <v>4</v>
      </c>
      <c r="R34" s="229"/>
      <c r="S34" s="227">
        <f t="shared" si="6"/>
        <v>4</v>
      </c>
      <c r="T34" s="203" t="s">
        <v>42</v>
      </c>
      <c r="U34" s="183" t="str">
        <f t="shared" si="5"/>
        <v>4 Days</v>
      </c>
    </row>
    <row r="35" spans="3:21" s="172" customFormat="1" ht="20.25" customHeight="1">
      <c r="C35" s="185"/>
      <c r="D35" s="190">
        <f t="shared" si="1"/>
        <v>35</v>
      </c>
      <c r="E35" s="194" t="s">
        <v>59</v>
      </c>
      <c r="F35" s="198">
        <f t="shared" si="3"/>
        <v>34</v>
      </c>
      <c r="G35" s="193" t="s">
        <v>44</v>
      </c>
      <c r="H35" s="193"/>
      <c r="I35" s="211">
        <v>24</v>
      </c>
      <c r="J35" s="198" t="str">
        <f t="shared" si="7"/>
        <v>6723 MM</v>
      </c>
      <c r="K35" s="218">
        <v>1</v>
      </c>
      <c r="L35" s="195" t="s">
        <v>50</v>
      </c>
      <c r="M35" s="204">
        <v>1</v>
      </c>
      <c r="N35" s="195" t="s">
        <v>39</v>
      </c>
      <c r="O35" s="219">
        <v>1</v>
      </c>
      <c r="P35" s="217" t="s">
        <v>41</v>
      </c>
      <c r="Q35" s="227">
        <f t="shared" si="4"/>
        <v>1</v>
      </c>
      <c r="R35" s="229"/>
      <c r="S35" s="227">
        <f t="shared" si="6"/>
        <v>1</v>
      </c>
      <c r="T35" s="203" t="s">
        <v>42</v>
      </c>
      <c r="U35" s="183" t="str">
        <f t="shared" si="5"/>
        <v>1 Days</v>
      </c>
    </row>
    <row r="36" spans="3:21" s="172" customFormat="1" ht="20.25" customHeight="1">
      <c r="C36" s="185"/>
      <c r="D36" s="190">
        <f t="shared" si="1"/>
        <v>36</v>
      </c>
      <c r="E36" s="194" t="s">
        <v>60</v>
      </c>
      <c r="F36" s="198">
        <f t="shared" si="3"/>
        <v>35</v>
      </c>
      <c r="G36" s="193" t="s">
        <v>61</v>
      </c>
      <c r="H36" s="193"/>
      <c r="I36" s="211">
        <v>24</v>
      </c>
      <c r="J36" s="198" t="str">
        <f t="shared" si="7"/>
        <v>6723 MM</v>
      </c>
      <c r="K36" s="218">
        <v>1</v>
      </c>
      <c r="L36" s="195" t="s">
        <v>50</v>
      </c>
      <c r="M36" s="204">
        <v>1</v>
      </c>
      <c r="N36" s="195" t="s">
        <v>39</v>
      </c>
      <c r="O36" s="219">
        <v>1</v>
      </c>
      <c r="P36" s="217" t="s">
        <v>41</v>
      </c>
      <c r="Q36" s="227">
        <f t="shared" si="4"/>
        <v>1</v>
      </c>
      <c r="R36" s="229">
        <v>1</v>
      </c>
      <c r="S36" s="227">
        <f t="shared" si="6"/>
        <v>2</v>
      </c>
      <c r="T36" s="203" t="s">
        <v>42</v>
      </c>
      <c r="U36" s="183" t="str">
        <f t="shared" si="5"/>
        <v>2 Days</v>
      </c>
    </row>
    <row r="37" spans="3:21" s="172" customFormat="1" ht="20.25" customHeight="1">
      <c r="C37" s="185"/>
      <c r="D37" s="190">
        <f t="shared" si="1"/>
        <v>37</v>
      </c>
      <c r="E37" s="194" t="s">
        <v>62</v>
      </c>
      <c r="F37" s="198">
        <f t="shared" si="3"/>
        <v>36</v>
      </c>
      <c r="G37" s="193" t="s">
        <v>63</v>
      </c>
      <c r="H37" s="193"/>
      <c r="I37" s="211">
        <v>24</v>
      </c>
      <c r="J37" s="198" t="str">
        <f t="shared" si="7"/>
        <v>6723 MM</v>
      </c>
      <c r="K37" s="218">
        <v>1</v>
      </c>
      <c r="L37" s="195" t="s">
        <v>50</v>
      </c>
      <c r="M37" s="204">
        <v>1</v>
      </c>
      <c r="N37" s="195" t="s">
        <v>39</v>
      </c>
      <c r="O37" s="219">
        <v>1</v>
      </c>
      <c r="P37" s="217" t="s">
        <v>41</v>
      </c>
      <c r="Q37" s="227">
        <f t="shared" si="4"/>
        <v>1</v>
      </c>
      <c r="R37" s="229"/>
      <c r="S37" s="227">
        <f t="shared" si="6"/>
        <v>1</v>
      </c>
      <c r="T37" s="203" t="s">
        <v>42</v>
      </c>
      <c r="U37" s="183" t="str">
        <f t="shared" si="5"/>
        <v>1 Days</v>
      </c>
    </row>
    <row r="38" spans="3:21" s="172" customFormat="1" ht="20.25" customHeight="1">
      <c r="C38" s="185"/>
      <c r="D38" s="190">
        <f t="shared" si="1"/>
        <v>38</v>
      </c>
      <c r="E38" s="194" t="s">
        <v>64</v>
      </c>
      <c r="F38" s="198">
        <f t="shared" si="3"/>
        <v>37</v>
      </c>
      <c r="G38" s="193" t="s">
        <v>63</v>
      </c>
      <c r="H38" s="193"/>
      <c r="I38" s="211">
        <v>24</v>
      </c>
      <c r="J38" s="198" t="str">
        <f t="shared" si="7"/>
        <v>6723 MM</v>
      </c>
      <c r="K38" s="218">
        <v>1</v>
      </c>
      <c r="L38" s="195" t="s">
        <v>50</v>
      </c>
      <c r="M38" s="204">
        <v>1</v>
      </c>
      <c r="N38" s="195" t="s">
        <v>39</v>
      </c>
      <c r="O38" s="219">
        <v>1</v>
      </c>
      <c r="P38" s="217" t="s">
        <v>41</v>
      </c>
      <c r="Q38" s="227">
        <f t="shared" si="4"/>
        <v>1</v>
      </c>
      <c r="R38" s="229"/>
      <c r="S38" s="227">
        <f t="shared" si="6"/>
        <v>1</v>
      </c>
      <c r="T38" s="203" t="s">
        <v>42</v>
      </c>
      <c r="U38" s="183" t="str">
        <f t="shared" si="5"/>
        <v>1 Days</v>
      </c>
    </row>
    <row r="39" spans="3:21" s="172" customFormat="1" ht="20.25" customHeight="1">
      <c r="C39" s="185"/>
      <c r="D39" s="190">
        <f t="shared" si="1"/>
        <v>39</v>
      </c>
      <c r="E39" s="194" t="s">
        <v>65</v>
      </c>
      <c r="F39" s="198">
        <f t="shared" si="3"/>
        <v>38</v>
      </c>
      <c r="G39" s="193" t="s">
        <v>44</v>
      </c>
      <c r="H39" s="193" t="s">
        <v>66</v>
      </c>
      <c r="I39" s="211">
        <v>24</v>
      </c>
      <c r="J39" s="239" t="s">
        <v>1223</v>
      </c>
      <c r="K39" s="218">
        <v>1</v>
      </c>
      <c r="L39" s="195" t="s">
        <v>50</v>
      </c>
      <c r="M39" s="214">
        <f>LEFT(J39,SEARCH(" ",J39,1)-1)*K39*0.001*3.142</f>
        <v>3.1419999999999999</v>
      </c>
      <c r="N39" s="195" t="s">
        <v>68</v>
      </c>
      <c r="O39" s="216">
        <f>VLOOKUP(I39,BM!$B$3:$Y$62,2,FALSE)</f>
        <v>0.1</v>
      </c>
      <c r="P39" s="217" t="s">
        <v>53</v>
      </c>
      <c r="Q39" s="227">
        <f t="shared" si="4"/>
        <v>0.31420000000000003</v>
      </c>
      <c r="R39" s="229">
        <v>1</v>
      </c>
      <c r="S39" s="227">
        <f t="shared" si="6"/>
        <v>1.31</v>
      </c>
      <c r="T39" s="230" t="s">
        <v>48</v>
      </c>
      <c r="U39" s="183" t="str">
        <f t="shared" si="5"/>
        <v>1.31 Hrs</v>
      </c>
    </row>
    <row r="40" spans="3:21" s="172" customFormat="1" ht="20.25" customHeight="1">
      <c r="C40" s="185"/>
      <c r="D40" s="190">
        <f t="shared" si="1"/>
        <v>40</v>
      </c>
      <c r="E40" s="194" t="s">
        <v>69</v>
      </c>
      <c r="F40" s="198">
        <f t="shared" si="3"/>
        <v>39</v>
      </c>
      <c r="G40" s="193" t="s">
        <v>52</v>
      </c>
      <c r="H40" s="193"/>
      <c r="I40" s="211">
        <v>24</v>
      </c>
      <c r="J40" s="198" t="str">
        <f>J39</f>
        <v>1000 mm</v>
      </c>
      <c r="K40" s="218">
        <v>1</v>
      </c>
      <c r="L40" s="195" t="s">
        <v>50</v>
      </c>
      <c r="M40" s="214">
        <f>LEFT(J40,SEARCH(" ",J40,1)-1)*K40*0.001*3.142</f>
        <v>3.1419999999999999</v>
      </c>
      <c r="N40" s="195" t="s">
        <v>68</v>
      </c>
      <c r="O40" s="216">
        <f>VLOOKUP(I40,BM!$B$3:$Y$62,15,FALSE)</f>
        <v>1</v>
      </c>
      <c r="P40" s="217" t="s">
        <v>53</v>
      </c>
      <c r="Q40" s="227">
        <f t="shared" si="4"/>
        <v>3.1419999999999999</v>
      </c>
      <c r="R40" s="229">
        <v>1</v>
      </c>
      <c r="S40" s="227">
        <f t="shared" si="6"/>
        <v>4.1399999999999997</v>
      </c>
      <c r="T40" s="230" t="s">
        <v>48</v>
      </c>
      <c r="U40" s="183" t="str">
        <f t="shared" si="5"/>
        <v>4.14 Hrs</v>
      </c>
    </row>
    <row r="41" spans="3:21" s="172" customFormat="1" ht="20.25" customHeight="1">
      <c r="C41" s="185"/>
      <c r="D41" s="190">
        <f t="shared" si="1"/>
        <v>41</v>
      </c>
      <c r="E41" s="194" t="s">
        <v>70</v>
      </c>
      <c r="F41" s="198">
        <f t="shared" si="3"/>
        <v>40</v>
      </c>
      <c r="G41" s="193" t="s">
        <v>61</v>
      </c>
      <c r="H41" s="193"/>
      <c r="I41" s="211">
        <v>24</v>
      </c>
      <c r="J41" s="198" t="str">
        <f>J40</f>
        <v>1000 mm</v>
      </c>
      <c r="K41" s="218">
        <v>1</v>
      </c>
      <c r="L41" s="195" t="s">
        <v>50</v>
      </c>
      <c r="M41" s="214">
        <f>LEFT(J41,SEARCH(" ",J41,1)-1)*K41*0.001*3.142</f>
        <v>3.1419999999999999</v>
      </c>
      <c r="N41" s="195" t="s">
        <v>68</v>
      </c>
      <c r="O41" s="216">
        <f>VLOOKUP(I41,BM!$B$3:$Y$62,6,FALSE)</f>
        <v>1</v>
      </c>
      <c r="P41" s="217" t="s">
        <v>53</v>
      </c>
      <c r="Q41" s="227">
        <f t="shared" si="4"/>
        <v>3.1419999999999999</v>
      </c>
      <c r="R41" s="229"/>
      <c r="S41" s="227">
        <f t="shared" si="6"/>
        <v>3.14</v>
      </c>
      <c r="T41" s="230" t="s">
        <v>48</v>
      </c>
      <c r="U41" s="183" t="str">
        <f t="shared" si="5"/>
        <v>3.14 Hrs</v>
      </c>
    </row>
    <row r="42" spans="3:21" s="172" customFormat="1" ht="20.25" customHeight="1">
      <c r="C42" s="185">
        <f t="shared" ref="C42:C43" si="8">D42</f>
        <v>42</v>
      </c>
      <c r="D42" s="190">
        <f t="shared" si="1"/>
        <v>42</v>
      </c>
      <c r="E42" s="191" t="s">
        <v>71</v>
      </c>
      <c r="F42" s="192"/>
      <c r="G42" s="193"/>
      <c r="H42" s="193"/>
      <c r="I42" s="195"/>
      <c r="J42" s="195"/>
      <c r="K42" s="218"/>
      <c r="L42" s="195"/>
      <c r="M42" s="204"/>
      <c r="N42" s="195"/>
      <c r="O42" s="219"/>
      <c r="P42" s="217"/>
      <c r="Q42" s="227"/>
      <c r="R42" s="229"/>
      <c r="S42" s="227"/>
      <c r="T42" s="230"/>
      <c r="U42" s="183"/>
    </row>
    <row r="43" spans="3:21" s="172" customFormat="1" ht="20.25" customHeight="1">
      <c r="C43" s="185">
        <f t="shared" si="8"/>
        <v>43</v>
      </c>
      <c r="D43" s="190">
        <f t="shared" si="1"/>
        <v>43</v>
      </c>
      <c r="E43" s="196" t="s">
        <v>72</v>
      </c>
      <c r="F43" s="197">
        <f>D10</f>
        <v>10</v>
      </c>
      <c r="G43" s="193"/>
      <c r="H43" s="193"/>
      <c r="I43" s="195"/>
      <c r="J43" s="195"/>
      <c r="K43" s="218"/>
      <c r="L43" s="195"/>
      <c r="M43" s="204"/>
      <c r="N43" s="195"/>
      <c r="O43" s="219"/>
      <c r="P43" s="217"/>
      <c r="Q43" s="227"/>
      <c r="R43" s="229"/>
      <c r="S43" s="227"/>
      <c r="T43" s="230"/>
      <c r="U43" s="183"/>
    </row>
    <row r="44" spans="3:21" s="172" customFormat="1" ht="20.25" customHeight="1">
      <c r="C44" s="185"/>
      <c r="D44" s="190">
        <f t="shared" si="1"/>
        <v>44</v>
      </c>
      <c r="E44" s="194" t="s">
        <v>73</v>
      </c>
      <c r="F44" s="195"/>
      <c r="G44" s="193"/>
      <c r="H44" s="193" t="s">
        <v>66</v>
      </c>
      <c r="I44" s="211" t="s">
        <v>74</v>
      </c>
      <c r="J44" s="195" t="str">
        <f>J41</f>
        <v>1000 mm</v>
      </c>
      <c r="K44" s="218">
        <v>1</v>
      </c>
      <c r="L44" s="195" t="s">
        <v>39</v>
      </c>
      <c r="M44" s="204">
        <v>1</v>
      </c>
      <c r="N44" s="195" t="s">
        <v>50</v>
      </c>
      <c r="O44" s="219">
        <v>2</v>
      </c>
      <c r="P44" s="217" t="s">
        <v>41</v>
      </c>
      <c r="Q44" s="227">
        <f t="shared" si="4"/>
        <v>2</v>
      </c>
      <c r="R44" s="229"/>
      <c r="S44" s="227">
        <f t="shared" si="6"/>
        <v>2</v>
      </c>
      <c r="T44" s="203" t="s">
        <v>42</v>
      </c>
      <c r="U44" s="183" t="str">
        <f t="shared" si="5"/>
        <v>2 Days</v>
      </c>
    </row>
    <row r="45" spans="3:21" s="172" customFormat="1" ht="20.25" customHeight="1">
      <c r="C45" s="185"/>
      <c r="D45" s="190">
        <f t="shared" si="1"/>
        <v>45</v>
      </c>
      <c r="E45" s="194" t="s">
        <v>75</v>
      </c>
      <c r="F45" s="198">
        <f>D44</f>
        <v>44</v>
      </c>
      <c r="G45" s="193" t="s">
        <v>55</v>
      </c>
      <c r="H45" s="193"/>
      <c r="I45" s="220" t="str">
        <f>I44</f>
        <v>145 t</v>
      </c>
      <c r="J45" s="195" t="str">
        <f>J44</f>
        <v>1000 mm</v>
      </c>
      <c r="K45" s="218">
        <v>1</v>
      </c>
      <c r="L45" s="195" t="s">
        <v>39</v>
      </c>
      <c r="M45" s="204">
        <v>1</v>
      </c>
      <c r="N45" s="195" t="s">
        <v>50</v>
      </c>
      <c r="O45" s="219">
        <v>5</v>
      </c>
      <c r="P45" s="217" t="s">
        <v>41</v>
      </c>
      <c r="Q45" s="227">
        <f t="shared" si="4"/>
        <v>5</v>
      </c>
      <c r="R45" s="229"/>
      <c r="S45" s="227">
        <f t="shared" si="6"/>
        <v>5</v>
      </c>
      <c r="T45" s="203" t="s">
        <v>42</v>
      </c>
      <c r="U45" s="183" t="str">
        <f t="shared" si="5"/>
        <v>5 Days</v>
      </c>
    </row>
    <row r="46" spans="3:21" s="172" customFormat="1" ht="20.25" customHeight="1">
      <c r="C46" s="185">
        <f>D46</f>
        <v>46</v>
      </c>
      <c r="D46" s="190">
        <f t="shared" si="1"/>
        <v>46</v>
      </c>
      <c r="E46" s="196" t="s">
        <v>76</v>
      </c>
      <c r="F46" s="197">
        <f>D43</f>
        <v>43</v>
      </c>
      <c r="G46" s="193"/>
      <c r="H46" s="193"/>
      <c r="I46" s="195"/>
      <c r="J46" s="195"/>
      <c r="K46" s="218"/>
      <c r="L46" s="195"/>
      <c r="M46" s="204"/>
      <c r="N46" s="195"/>
      <c r="O46" s="219"/>
      <c r="P46" s="217"/>
      <c r="Q46" s="227"/>
      <c r="R46" s="229"/>
      <c r="S46" s="227"/>
      <c r="T46" s="230"/>
      <c r="U46" s="183"/>
    </row>
    <row r="47" spans="3:21" s="172" customFormat="1" ht="20.25" customHeight="1">
      <c r="C47" s="185"/>
      <c r="D47" s="190">
        <f t="shared" si="1"/>
        <v>47</v>
      </c>
      <c r="E47" s="194" t="s">
        <v>77</v>
      </c>
      <c r="F47" s="198"/>
      <c r="G47" s="193" t="s">
        <v>55</v>
      </c>
      <c r="H47" s="193"/>
      <c r="I47" s="211" t="str">
        <f>I44</f>
        <v>145 t</v>
      </c>
      <c r="J47" s="221" t="s">
        <v>78</v>
      </c>
      <c r="K47" s="218">
        <v>1</v>
      </c>
      <c r="L47" s="195" t="s">
        <v>39</v>
      </c>
      <c r="M47" s="214">
        <f>LEFT(J47,SEARCH(" ",J47,1)-1)*LEFT(I47,SEARCH(" ",I47,1)-1)*K47/1000</f>
        <v>189.66</v>
      </c>
      <c r="N47" s="195" t="s">
        <v>79</v>
      </c>
      <c r="O47" s="216">
        <f>1/1.5^1</f>
        <v>0.66666666666666663</v>
      </c>
      <c r="P47" s="217" t="s">
        <v>47</v>
      </c>
      <c r="Q47" s="227">
        <f>M47*O47/24</f>
        <v>5.2683333333333335</v>
      </c>
      <c r="R47" s="229"/>
      <c r="S47" s="227">
        <f t="shared" si="6"/>
        <v>5.27</v>
      </c>
      <c r="T47" s="203" t="s">
        <v>42</v>
      </c>
      <c r="U47" s="183" t="str">
        <f t="shared" si="5"/>
        <v>5.27 Days</v>
      </c>
    </row>
    <row r="48" spans="3:21" s="172" customFormat="1" ht="20.25" customHeight="1">
      <c r="C48" s="185"/>
      <c r="D48" s="190">
        <f t="shared" si="1"/>
        <v>48</v>
      </c>
      <c r="E48" s="194" t="s">
        <v>80</v>
      </c>
      <c r="F48" s="198">
        <f t="shared" ref="F48:F52" si="9">D47</f>
        <v>47</v>
      </c>
      <c r="G48" s="193" t="s">
        <v>55</v>
      </c>
      <c r="H48" s="193"/>
      <c r="I48" s="211" t="str">
        <f>I44</f>
        <v>145 t</v>
      </c>
      <c r="J48" s="195" t="str">
        <f>J47</f>
        <v>1308 holes</v>
      </c>
      <c r="K48" s="218">
        <v>1</v>
      </c>
      <c r="L48" s="195" t="s">
        <v>40</v>
      </c>
      <c r="M48" s="214" t="str">
        <f>LEFT(J48,SEARCH(" ",J48,1)-1)</f>
        <v>1308</v>
      </c>
      <c r="N48" s="195" t="s">
        <v>81</v>
      </c>
      <c r="O48" s="216">
        <f>1/60*5</f>
        <v>8.3333333333333329E-2</v>
      </c>
      <c r="P48" s="217" t="s">
        <v>47</v>
      </c>
      <c r="Q48" s="227">
        <f>M48*O48/24</f>
        <v>4.541666666666667</v>
      </c>
      <c r="R48" s="229"/>
      <c r="S48" s="227">
        <f t="shared" si="6"/>
        <v>4.54</v>
      </c>
      <c r="T48" s="203" t="s">
        <v>42</v>
      </c>
      <c r="U48" s="183" t="str">
        <f t="shared" si="5"/>
        <v>4.54 Days</v>
      </c>
    </row>
    <row r="49" spans="3:21" s="172" customFormat="1" ht="20.25" customHeight="1">
      <c r="C49" s="185"/>
      <c r="D49" s="190">
        <f t="shared" si="1"/>
        <v>49</v>
      </c>
      <c r="E49" s="194" t="s">
        <v>82</v>
      </c>
      <c r="F49" s="198">
        <f t="shared" si="9"/>
        <v>48</v>
      </c>
      <c r="G49" s="193" t="s">
        <v>55</v>
      </c>
      <c r="H49" s="193"/>
      <c r="I49" s="211" t="str">
        <f>I44</f>
        <v>145 t</v>
      </c>
      <c r="J49" s="195"/>
      <c r="K49" s="218">
        <v>1</v>
      </c>
      <c r="L49" s="195" t="s">
        <v>83</v>
      </c>
      <c r="M49" s="222">
        <v>1</v>
      </c>
      <c r="N49" s="195" t="s">
        <v>84</v>
      </c>
      <c r="O49" s="216">
        <v>1</v>
      </c>
      <c r="P49" s="217" t="s">
        <v>41</v>
      </c>
      <c r="Q49" s="227">
        <f>M49*O49</f>
        <v>1</v>
      </c>
      <c r="R49" s="229"/>
      <c r="S49" s="227">
        <f t="shared" si="6"/>
        <v>1</v>
      </c>
      <c r="T49" s="203" t="s">
        <v>42</v>
      </c>
      <c r="U49" s="183" t="str">
        <f t="shared" si="5"/>
        <v>1 Days</v>
      </c>
    </row>
    <row r="50" spans="3:21" s="172" customFormat="1" ht="20.25" customHeight="1">
      <c r="C50" s="185"/>
      <c r="D50" s="190">
        <f t="shared" si="1"/>
        <v>50</v>
      </c>
      <c r="E50" s="194" t="s">
        <v>85</v>
      </c>
      <c r="F50" s="198">
        <f t="shared" si="9"/>
        <v>49</v>
      </c>
      <c r="G50" s="193" t="s">
        <v>55</v>
      </c>
      <c r="H50" s="193"/>
      <c r="I50" s="211" t="str">
        <f>I44</f>
        <v>145 t</v>
      </c>
      <c r="J50" s="195"/>
      <c r="K50" s="218">
        <v>1</v>
      </c>
      <c r="L50" s="195" t="s">
        <v>83</v>
      </c>
      <c r="M50" s="204">
        <v>1</v>
      </c>
      <c r="N50" s="195" t="s">
        <v>84</v>
      </c>
      <c r="O50" s="219">
        <v>4</v>
      </c>
      <c r="P50" s="217" t="s">
        <v>41</v>
      </c>
      <c r="Q50" s="227">
        <f t="shared" si="4"/>
        <v>4</v>
      </c>
      <c r="R50" s="229"/>
      <c r="S50" s="227">
        <f t="shared" si="6"/>
        <v>4</v>
      </c>
      <c r="T50" s="203" t="s">
        <v>42</v>
      </c>
      <c r="U50" s="183" t="str">
        <f t="shared" si="5"/>
        <v>4 Days</v>
      </c>
    </row>
    <row r="51" spans="3:21" s="172" customFormat="1" ht="20.25" customHeight="1">
      <c r="C51" s="185"/>
      <c r="D51" s="190">
        <f t="shared" si="1"/>
        <v>51</v>
      </c>
      <c r="E51" s="194" t="s">
        <v>86</v>
      </c>
      <c r="F51" s="198">
        <f t="shared" si="9"/>
        <v>50</v>
      </c>
      <c r="G51" s="193" t="s">
        <v>44</v>
      </c>
      <c r="H51" s="193"/>
      <c r="I51" s="211" t="str">
        <f>I44</f>
        <v>145 t</v>
      </c>
      <c r="J51" s="195" t="str">
        <f>J48</f>
        <v>1308 holes</v>
      </c>
      <c r="K51" s="218">
        <v>1</v>
      </c>
      <c r="L51" s="195" t="s">
        <v>40</v>
      </c>
      <c r="M51" s="214" t="str">
        <f>LEFT(J51,SEARCH(" ",J51,1)-1)</f>
        <v>1308</v>
      </c>
      <c r="N51" s="195" t="s">
        <v>40</v>
      </c>
      <c r="O51" s="216">
        <f>1/60*3</f>
        <v>0.05</v>
      </c>
      <c r="P51" s="217" t="s">
        <v>87</v>
      </c>
      <c r="Q51" s="227">
        <f t="shared" si="4"/>
        <v>65.400000000000006</v>
      </c>
      <c r="R51" s="229"/>
      <c r="S51" s="227">
        <f t="shared" si="6"/>
        <v>65.400000000000006</v>
      </c>
      <c r="T51" s="230" t="s">
        <v>48</v>
      </c>
      <c r="U51" s="183" t="str">
        <f t="shared" si="5"/>
        <v>65.4 Hrs</v>
      </c>
    </row>
    <row r="52" spans="3:21" s="172" customFormat="1" ht="20.25" customHeight="1">
      <c r="C52" s="185"/>
      <c r="D52" s="190">
        <f t="shared" si="1"/>
        <v>52</v>
      </c>
      <c r="E52" s="194" t="s">
        <v>88</v>
      </c>
      <c r="F52" s="198">
        <f t="shared" si="9"/>
        <v>51</v>
      </c>
      <c r="G52" s="193" t="s">
        <v>44</v>
      </c>
      <c r="H52" s="193"/>
      <c r="I52" s="195"/>
      <c r="J52" s="195"/>
      <c r="K52" s="218"/>
      <c r="L52" s="195"/>
      <c r="M52" s="204"/>
      <c r="N52" s="195"/>
      <c r="O52" s="219"/>
      <c r="P52" s="217"/>
      <c r="Q52" s="227"/>
      <c r="R52" s="229"/>
      <c r="S52" s="227"/>
      <c r="T52" s="230"/>
      <c r="U52" s="183"/>
    </row>
    <row r="53" spans="3:21" s="172" customFormat="1" ht="20.25" customHeight="1">
      <c r="C53" s="185">
        <f>D53</f>
        <v>53</v>
      </c>
      <c r="D53" s="190">
        <f t="shared" si="1"/>
        <v>53</v>
      </c>
      <c r="E53" s="196" t="s">
        <v>89</v>
      </c>
      <c r="F53" s="197">
        <f>D10</f>
        <v>10</v>
      </c>
      <c r="G53" s="193"/>
      <c r="H53" s="193"/>
      <c r="I53" s="195"/>
      <c r="J53" s="195"/>
      <c r="K53" s="218"/>
      <c r="L53" s="195"/>
      <c r="M53" s="204"/>
      <c r="N53" s="195"/>
      <c r="O53" s="219"/>
      <c r="P53" s="217"/>
      <c r="Q53" s="227"/>
      <c r="R53" s="229"/>
      <c r="S53" s="227"/>
      <c r="T53" s="230"/>
      <c r="U53" s="183"/>
    </row>
    <row r="54" spans="3:21" s="172" customFormat="1" ht="20.25" customHeight="1">
      <c r="C54" s="185"/>
      <c r="D54" s="190">
        <f t="shared" si="1"/>
        <v>54</v>
      </c>
      <c r="E54" s="194" t="s">
        <v>73</v>
      </c>
      <c r="F54" s="198"/>
      <c r="G54" s="193"/>
      <c r="H54" s="193"/>
      <c r="I54" s="211" t="s">
        <v>74</v>
      </c>
      <c r="J54" s="221" t="s">
        <v>90</v>
      </c>
      <c r="K54" s="218">
        <v>1</v>
      </c>
      <c r="L54" s="195" t="s">
        <v>39</v>
      </c>
      <c r="M54" s="204">
        <v>1</v>
      </c>
      <c r="N54" s="195" t="s">
        <v>50</v>
      </c>
      <c r="O54" s="219">
        <v>2</v>
      </c>
      <c r="P54" s="217" t="s">
        <v>41</v>
      </c>
      <c r="Q54" s="227">
        <f t="shared" ref="Q54:Q55" si="10">M54*O54</f>
        <v>2</v>
      </c>
      <c r="R54" s="229"/>
      <c r="S54" s="227">
        <f t="shared" si="6"/>
        <v>2</v>
      </c>
      <c r="T54" s="203" t="s">
        <v>42</v>
      </c>
      <c r="U54" s="183" t="str">
        <f t="shared" si="5"/>
        <v>2 Days</v>
      </c>
    </row>
    <row r="55" spans="3:21" s="172" customFormat="1" ht="20.25" customHeight="1">
      <c r="C55" s="185"/>
      <c r="D55" s="190">
        <f t="shared" si="1"/>
        <v>55</v>
      </c>
      <c r="E55" s="194" t="s">
        <v>91</v>
      </c>
      <c r="F55" s="198">
        <f>D54</f>
        <v>54</v>
      </c>
      <c r="G55" s="193" t="s">
        <v>55</v>
      </c>
      <c r="H55" s="193"/>
      <c r="I55" s="220" t="str">
        <f>I54</f>
        <v>145 t</v>
      </c>
      <c r="J55" s="221" t="s">
        <v>92</v>
      </c>
      <c r="K55" s="218">
        <v>1</v>
      </c>
      <c r="L55" s="195" t="s">
        <v>39</v>
      </c>
      <c r="M55" s="204">
        <v>1</v>
      </c>
      <c r="N55" s="195" t="s">
        <v>50</v>
      </c>
      <c r="O55" s="219">
        <v>5</v>
      </c>
      <c r="P55" s="217" t="s">
        <v>41</v>
      </c>
      <c r="Q55" s="227">
        <f t="shared" si="10"/>
        <v>5</v>
      </c>
      <c r="R55" s="229"/>
      <c r="S55" s="227">
        <f t="shared" si="6"/>
        <v>5</v>
      </c>
      <c r="T55" s="203" t="s">
        <v>42</v>
      </c>
      <c r="U55" s="183" t="str">
        <f t="shared" si="5"/>
        <v>5 Days</v>
      </c>
    </row>
    <row r="56" spans="3:21" s="172" customFormat="1" ht="20.25" customHeight="1">
      <c r="C56" s="185">
        <f>D56</f>
        <v>56</v>
      </c>
      <c r="D56" s="190">
        <f t="shared" si="1"/>
        <v>56</v>
      </c>
      <c r="E56" s="196" t="s">
        <v>93</v>
      </c>
      <c r="F56" s="197"/>
      <c r="G56" s="193"/>
      <c r="H56" s="193"/>
      <c r="I56" s="195"/>
      <c r="J56" s="195"/>
      <c r="K56" s="218"/>
      <c r="L56" s="195"/>
      <c r="M56" s="204"/>
      <c r="N56" s="195"/>
      <c r="O56" s="219"/>
      <c r="P56" s="217"/>
      <c r="Q56" s="227"/>
      <c r="R56" s="229"/>
      <c r="S56" s="227"/>
      <c r="T56" s="230"/>
      <c r="U56" s="183"/>
    </row>
    <row r="57" spans="3:21" s="172" customFormat="1" ht="20.25" customHeight="1">
      <c r="C57" s="185"/>
      <c r="D57" s="190">
        <f t="shared" si="1"/>
        <v>57</v>
      </c>
      <c r="E57" s="194" t="s">
        <v>94</v>
      </c>
      <c r="F57" s="198"/>
      <c r="G57" s="193" t="s">
        <v>55</v>
      </c>
      <c r="H57" s="193"/>
      <c r="I57" s="211" t="str">
        <f>I54</f>
        <v>145 t</v>
      </c>
      <c r="J57" s="195" t="str">
        <f>J47</f>
        <v>1308 holes</v>
      </c>
      <c r="K57" s="218">
        <v>1</v>
      </c>
      <c r="L57" s="195" t="s">
        <v>39</v>
      </c>
      <c r="M57" s="214">
        <f>LEFT(J57,SEARCH(" ",J57,1)-1)*LEFT(I57,SEARCH(" ",I57,1)-1)*K57/1000</f>
        <v>189.66</v>
      </c>
      <c r="N57" s="195" t="s">
        <v>79</v>
      </c>
      <c r="O57" s="216">
        <f>1/1.5^1</f>
        <v>0.66666666666666663</v>
      </c>
      <c r="P57" s="217" t="s">
        <v>47</v>
      </c>
      <c r="Q57" s="227">
        <f>M57*O57/24</f>
        <v>5.2683333333333335</v>
      </c>
      <c r="R57" s="229"/>
      <c r="S57" s="227">
        <f t="shared" si="6"/>
        <v>5.27</v>
      </c>
      <c r="T57" s="203" t="s">
        <v>42</v>
      </c>
      <c r="U57" s="183" t="str">
        <f t="shared" si="5"/>
        <v>5.27 Days</v>
      </c>
    </row>
    <row r="58" spans="3:21" s="172" customFormat="1" ht="20.25" customHeight="1">
      <c r="C58" s="185"/>
      <c r="D58" s="190">
        <f t="shared" si="1"/>
        <v>58</v>
      </c>
      <c r="E58" s="194" t="s">
        <v>95</v>
      </c>
      <c r="F58" s="198">
        <f>D57</f>
        <v>57</v>
      </c>
      <c r="G58" s="193" t="s">
        <v>55</v>
      </c>
      <c r="H58" s="193"/>
      <c r="I58" s="211" t="str">
        <f>I54</f>
        <v>145 t</v>
      </c>
      <c r="J58" s="195" t="str">
        <f>J57</f>
        <v>1308 holes</v>
      </c>
      <c r="K58" s="218">
        <v>1</v>
      </c>
      <c r="L58" s="195" t="s">
        <v>40</v>
      </c>
      <c r="M58" s="214" t="str">
        <f>LEFT(J58,SEARCH(" ",J58,1)-1)</f>
        <v>1308</v>
      </c>
      <c r="N58" s="195" t="s">
        <v>81</v>
      </c>
      <c r="O58" s="216">
        <f>1/60*5</f>
        <v>8.3333333333333329E-2</v>
      </c>
      <c r="P58" s="217" t="s">
        <v>47</v>
      </c>
      <c r="Q58" s="227">
        <f>M58*O58/24</f>
        <v>4.541666666666667</v>
      </c>
      <c r="R58" s="229"/>
      <c r="S58" s="227">
        <f t="shared" si="6"/>
        <v>4.54</v>
      </c>
      <c r="T58" s="203" t="s">
        <v>42</v>
      </c>
      <c r="U58" s="183" t="str">
        <f t="shared" si="5"/>
        <v>4.54 Days</v>
      </c>
    </row>
    <row r="59" spans="3:21" s="172" customFormat="1" ht="20.25" customHeight="1">
      <c r="C59" s="185"/>
      <c r="D59" s="190">
        <f t="shared" si="1"/>
        <v>59</v>
      </c>
      <c r="E59" s="194" t="s">
        <v>96</v>
      </c>
      <c r="F59" s="198">
        <f>D58</f>
        <v>58</v>
      </c>
      <c r="G59" s="193" t="s">
        <v>55</v>
      </c>
      <c r="H59" s="193"/>
      <c r="I59" s="211" t="str">
        <f>I54</f>
        <v>145 t</v>
      </c>
      <c r="J59" s="195"/>
      <c r="K59" s="218">
        <v>1</v>
      </c>
      <c r="L59" s="195" t="s">
        <v>83</v>
      </c>
      <c r="M59" s="222">
        <v>1</v>
      </c>
      <c r="N59" s="195" t="s">
        <v>84</v>
      </c>
      <c r="O59" s="216">
        <v>1</v>
      </c>
      <c r="P59" s="217" t="s">
        <v>41</v>
      </c>
      <c r="Q59" s="227">
        <f>M59*O59</f>
        <v>1</v>
      </c>
      <c r="R59" s="229"/>
      <c r="S59" s="227">
        <f t="shared" si="6"/>
        <v>1</v>
      </c>
      <c r="T59" s="203" t="s">
        <v>42</v>
      </c>
      <c r="U59" s="183" t="str">
        <f t="shared" si="5"/>
        <v>1 Days</v>
      </c>
    </row>
    <row r="60" spans="3:21" s="172" customFormat="1" ht="20.25" customHeight="1">
      <c r="C60" s="185"/>
      <c r="D60" s="190">
        <f t="shared" si="1"/>
        <v>60</v>
      </c>
      <c r="E60" s="194" t="s">
        <v>97</v>
      </c>
      <c r="F60" s="198">
        <f>D59</f>
        <v>59</v>
      </c>
      <c r="G60" s="193" t="s">
        <v>55</v>
      </c>
      <c r="H60" s="193"/>
      <c r="I60" s="211" t="str">
        <f>I54</f>
        <v>145 t</v>
      </c>
      <c r="J60" s="195"/>
      <c r="K60" s="218">
        <v>1</v>
      </c>
      <c r="L60" s="195" t="s">
        <v>83</v>
      </c>
      <c r="M60" s="204">
        <v>1</v>
      </c>
      <c r="N60" s="195" t="s">
        <v>84</v>
      </c>
      <c r="O60" s="219">
        <v>4</v>
      </c>
      <c r="P60" s="217" t="s">
        <v>41</v>
      </c>
      <c r="Q60" s="227">
        <f t="shared" ref="Q60:Q61" si="11">M60*O60</f>
        <v>4</v>
      </c>
      <c r="R60" s="229"/>
      <c r="S60" s="227">
        <f t="shared" si="6"/>
        <v>4</v>
      </c>
      <c r="T60" s="203" t="s">
        <v>42</v>
      </c>
      <c r="U60" s="183" t="str">
        <f t="shared" si="5"/>
        <v>4 Days</v>
      </c>
    </row>
    <row r="61" spans="3:21" s="172" customFormat="1" ht="20.25" customHeight="1">
      <c r="C61" s="185"/>
      <c r="D61" s="190">
        <f t="shared" si="1"/>
        <v>61</v>
      </c>
      <c r="E61" s="194" t="s">
        <v>98</v>
      </c>
      <c r="F61" s="198">
        <f>D60</f>
        <v>60</v>
      </c>
      <c r="G61" s="193" t="s">
        <v>44</v>
      </c>
      <c r="H61" s="193"/>
      <c r="I61" s="211" t="str">
        <f>I54</f>
        <v>145 t</v>
      </c>
      <c r="J61" s="195" t="str">
        <f>J58</f>
        <v>1308 holes</v>
      </c>
      <c r="K61" s="218">
        <v>1</v>
      </c>
      <c r="L61" s="195" t="s">
        <v>40</v>
      </c>
      <c r="M61" s="214" t="str">
        <f>LEFT(J61,SEARCH(" ",J61,1)-1)</f>
        <v>1308</v>
      </c>
      <c r="N61" s="195" t="s">
        <v>40</v>
      </c>
      <c r="O61" s="216">
        <f>1/60*3</f>
        <v>0.05</v>
      </c>
      <c r="P61" s="217" t="s">
        <v>87</v>
      </c>
      <c r="Q61" s="227">
        <f t="shared" si="11"/>
        <v>65.400000000000006</v>
      </c>
      <c r="R61" s="229"/>
      <c r="S61" s="227">
        <f t="shared" si="6"/>
        <v>65.400000000000006</v>
      </c>
      <c r="T61" s="230" t="s">
        <v>48</v>
      </c>
      <c r="U61" s="183" t="str">
        <f t="shared" si="5"/>
        <v>65.4 Hrs</v>
      </c>
    </row>
    <row r="62" spans="3:21" s="172" customFormat="1" ht="20.25" customHeight="1">
      <c r="C62" s="185"/>
      <c r="D62" s="190">
        <f t="shared" si="1"/>
        <v>62</v>
      </c>
      <c r="E62" s="194" t="s">
        <v>99</v>
      </c>
      <c r="F62" s="198">
        <f>D61</f>
        <v>61</v>
      </c>
      <c r="G62" s="193" t="s">
        <v>44</v>
      </c>
      <c r="H62" s="193"/>
      <c r="I62" s="195"/>
      <c r="J62" s="195"/>
      <c r="K62" s="218">
        <v>1</v>
      </c>
      <c r="L62" s="195"/>
      <c r="M62" s="214">
        <v>1050</v>
      </c>
      <c r="N62" s="195" t="s">
        <v>40</v>
      </c>
      <c r="O62" s="216">
        <f>1/60*3</f>
        <v>0.05</v>
      </c>
      <c r="P62" s="217" t="s">
        <v>53</v>
      </c>
      <c r="Q62" s="227">
        <f t="shared" si="4"/>
        <v>52.5</v>
      </c>
      <c r="R62" s="229">
        <v>1</v>
      </c>
      <c r="S62" s="227">
        <f t="shared" si="6"/>
        <v>53.5</v>
      </c>
      <c r="T62" s="230" t="s">
        <v>48</v>
      </c>
      <c r="U62" s="183" t="str">
        <f t="shared" si="5"/>
        <v>53.5 Hrs</v>
      </c>
    </row>
    <row r="63" spans="3:21" s="172" customFormat="1" ht="20.25" customHeight="1">
      <c r="C63" s="185">
        <f t="shared" ref="C63:C64" si="12">D63</f>
        <v>63</v>
      </c>
      <c r="D63" s="190">
        <f t="shared" si="1"/>
        <v>63</v>
      </c>
      <c r="E63" s="199" t="s">
        <v>100</v>
      </c>
      <c r="F63" s="197">
        <f>D19</f>
        <v>19</v>
      </c>
      <c r="G63" s="195"/>
      <c r="H63" s="195"/>
      <c r="I63" s="195"/>
      <c r="J63" s="195"/>
      <c r="K63" s="221"/>
      <c r="L63" s="195"/>
      <c r="M63" s="204"/>
      <c r="N63" s="195"/>
      <c r="O63" s="205"/>
      <c r="P63" s="195"/>
      <c r="Q63" s="227"/>
      <c r="R63" s="226"/>
      <c r="S63" s="227"/>
      <c r="T63" s="203"/>
      <c r="U63" s="183"/>
    </row>
    <row r="64" spans="3:21" s="172" customFormat="1" ht="20.25" customHeight="1">
      <c r="C64" s="185">
        <f t="shared" si="12"/>
        <v>64</v>
      </c>
      <c r="D64" s="190">
        <f t="shared" si="1"/>
        <v>64</v>
      </c>
      <c r="E64" s="196" t="s">
        <v>101</v>
      </c>
      <c r="F64" s="197">
        <f>D3</f>
        <v>3</v>
      </c>
      <c r="G64" s="193"/>
      <c r="H64" s="193"/>
      <c r="I64" s="195"/>
      <c r="J64" s="195"/>
      <c r="K64" s="221"/>
      <c r="L64" s="195"/>
      <c r="M64" s="204"/>
      <c r="N64" s="195"/>
      <c r="O64" s="205"/>
      <c r="P64" s="195"/>
      <c r="Q64" s="227"/>
      <c r="R64" s="226"/>
      <c r="S64" s="227"/>
      <c r="T64" s="203"/>
      <c r="U64" s="183"/>
    </row>
    <row r="65" spans="3:21" s="172" customFormat="1" ht="20.25" customHeight="1">
      <c r="C65" s="185"/>
      <c r="D65" s="190">
        <f t="shared" si="1"/>
        <v>65</v>
      </c>
      <c r="E65" s="231" t="s">
        <v>102</v>
      </c>
      <c r="F65" s="198"/>
      <c r="G65" s="193" t="s">
        <v>44</v>
      </c>
      <c r="H65" s="193"/>
      <c r="I65" s="211" t="s">
        <v>103</v>
      </c>
      <c r="J65" s="195"/>
      <c r="K65" s="221">
        <v>2</v>
      </c>
      <c r="L65" s="195" t="s">
        <v>81</v>
      </c>
      <c r="M65" s="204">
        <f>K65</f>
        <v>2</v>
      </c>
      <c r="N65" s="195" t="s">
        <v>81</v>
      </c>
      <c r="O65" s="205">
        <v>1</v>
      </c>
      <c r="P65" s="195"/>
      <c r="Q65" s="227">
        <f t="shared" si="4"/>
        <v>2</v>
      </c>
      <c r="R65" s="226">
        <v>1</v>
      </c>
      <c r="S65" s="227">
        <f t="shared" si="6"/>
        <v>3</v>
      </c>
      <c r="T65" s="230" t="s">
        <v>48</v>
      </c>
      <c r="U65" s="183" t="str">
        <f t="shared" si="5"/>
        <v>3 Hrs</v>
      </c>
    </row>
    <row r="66" spans="3:21" s="172" customFormat="1" ht="20.25" customHeight="1">
      <c r="C66" s="185"/>
      <c r="D66" s="190">
        <f t="shared" si="1"/>
        <v>66</v>
      </c>
      <c r="E66" s="231" t="s">
        <v>104</v>
      </c>
      <c r="F66" s="198">
        <f>D65</f>
        <v>65</v>
      </c>
      <c r="G66" s="193" t="s">
        <v>44</v>
      </c>
      <c r="H66" s="193"/>
      <c r="I66" s="211" t="s">
        <v>105</v>
      </c>
      <c r="J66" s="195"/>
      <c r="K66" s="221">
        <v>2</v>
      </c>
      <c r="L66" s="195" t="s">
        <v>81</v>
      </c>
      <c r="M66" s="204">
        <f>K66</f>
        <v>2</v>
      </c>
      <c r="N66" s="195" t="s">
        <v>81</v>
      </c>
      <c r="O66" s="205">
        <v>0.5</v>
      </c>
      <c r="P66" s="195"/>
      <c r="Q66" s="227">
        <f t="shared" si="4"/>
        <v>1</v>
      </c>
      <c r="R66" s="226">
        <v>1</v>
      </c>
      <c r="S66" s="227">
        <f t="shared" si="6"/>
        <v>2</v>
      </c>
      <c r="T66" s="230" t="s">
        <v>48</v>
      </c>
      <c r="U66" s="183" t="str">
        <f t="shared" si="5"/>
        <v>2 Hrs</v>
      </c>
    </row>
    <row r="67" spans="3:21" s="172" customFormat="1" ht="20.25" customHeight="1">
      <c r="C67" s="185"/>
      <c r="D67" s="190">
        <f t="shared" ref="D67:D130" si="13">D66+1</f>
        <v>67</v>
      </c>
      <c r="E67" s="231" t="s">
        <v>106</v>
      </c>
      <c r="F67" s="198">
        <f>D66</f>
        <v>66</v>
      </c>
      <c r="G67" s="193" t="s">
        <v>44</v>
      </c>
      <c r="H67" s="193"/>
      <c r="I67" s="195"/>
      <c r="J67" s="195"/>
      <c r="K67" s="221">
        <f>K66+K65</f>
        <v>4</v>
      </c>
      <c r="L67" s="195" t="s">
        <v>81</v>
      </c>
      <c r="M67" s="204">
        <f>K67</f>
        <v>4</v>
      </c>
      <c r="N67" s="195" t="s">
        <v>81</v>
      </c>
      <c r="O67" s="205">
        <v>0.5</v>
      </c>
      <c r="P67" s="195"/>
      <c r="Q67" s="227">
        <f t="shared" si="4"/>
        <v>2</v>
      </c>
      <c r="R67" s="226">
        <v>1</v>
      </c>
      <c r="S67" s="227">
        <f t="shared" si="6"/>
        <v>3</v>
      </c>
      <c r="T67" s="230" t="s">
        <v>48</v>
      </c>
      <c r="U67" s="183" t="str">
        <f t="shared" si="5"/>
        <v>3 Hrs</v>
      </c>
    </row>
    <row r="68" spans="3:21" s="172" customFormat="1" ht="20.25" customHeight="1">
      <c r="C68" s="185">
        <f>D68</f>
        <v>68</v>
      </c>
      <c r="D68" s="190">
        <f t="shared" si="13"/>
        <v>68</v>
      </c>
      <c r="E68" s="196" t="s">
        <v>107</v>
      </c>
      <c r="F68" s="197">
        <f>D64</f>
        <v>64</v>
      </c>
      <c r="G68" s="193"/>
      <c r="H68" s="193"/>
      <c r="I68" s="195"/>
      <c r="J68" s="195"/>
      <c r="K68" s="221"/>
      <c r="L68" s="195"/>
      <c r="M68" s="204"/>
      <c r="N68" s="195"/>
      <c r="O68" s="205"/>
      <c r="P68" s="195"/>
      <c r="Q68" s="227"/>
      <c r="R68" s="226"/>
      <c r="S68" s="227"/>
      <c r="T68" s="203"/>
      <c r="U68" s="183"/>
    </row>
    <row r="69" spans="3:21" s="172" customFormat="1" ht="20.25" customHeight="1">
      <c r="C69" s="185"/>
      <c r="D69" s="190">
        <f t="shared" si="13"/>
        <v>69</v>
      </c>
      <c r="E69" s="232" t="s">
        <v>102</v>
      </c>
      <c r="F69" s="198"/>
      <c r="G69" s="193" t="s">
        <v>52</v>
      </c>
      <c r="H69" s="193"/>
      <c r="I69" s="211" t="str">
        <f>I65</f>
        <v>26" nb</v>
      </c>
      <c r="J69" s="195"/>
      <c r="K69" s="221">
        <f>K65</f>
        <v>2</v>
      </c>
      <c r="L69" s="195" t="s">
        <v>81</v>
      </c>
      <c r="M69" s="204">
        <f>K69</f>
        <v>2</v>
      </c>
      <c r="N69" s="195" t="s">
        <v>81</v>
      </c>
      <c r="O69" s="205">
        <v>0</v>
      </c>
      <c r="P69" s="195"/>
      <c r="Q69" s="227">
        <f t="shared" si="4"/>
        <v>0</v>
      </c>
      <c r="R69" s="226">
        <v>0</v>
      </c>
      <c r="S69" s="227"/>
      <c r="T69" s="230" t="s">
        <v>48</v>
      </c>
      <c r="U69" s="183"/>
    </row>
    <row r="70" spans="3:21" s="172" customFormat="1" ht="20.25" customHeight="1">
      <c r="C70" s="185"/>
      <c r="D70" s="190">
        <f t="shared" si="13"/>
        <v>70</v>
      </c>
      <c r="E70" s="232" t="s">
        <v>104</v>
      </c>
      <c r="F70" s="198">
        <f>D69</f>
        <v>69</v>
      </c>
      <c r="G70" s="193" t="s">
        <v>52</v>
      </c>
      <c r="H70" s="193"/>
      <c r="I70" s="211" t="str">
        <f>I66</f>
        <v>2"nb</v>
      </c>
      <c r="J70" s="195"/>
      <c r="K70" s="221">
        <f>K66</f>
        <v>2</v>
      </c>
      <c r="L70" s="195" t="s">
        <v>81</v>
      </c>
      <c r="M70" s="204">
        <f>K70</f>
        <v>2</v>
      </c>
      <c r="N70" s="195" t="s">
        <v>81</v>
      </c>
      <c r="O70" s="205">
        <v>0</v>
      </c>
      <c r="P70" s="195"/>
      <c r="Q70" s="227">
        <f t="shared" si="4"/>
        <v>0</v>
      </c>
      <c r="R70" s="226">
        <v>0</v>
      </c>
      <c r="S70" s="227"/>
      <c r="T70" s="230" t="s">
        <v>48</v>
      </c>
      <c r="U70" s="183"/>
    </row>
    <row r="71" spans="3:21" s="172" customFormat="1" ht="20.25" customHeight="1">
      <c r="C71" s="185"/>
      <c r="D71" s="190">
        <f t="shared" si="13"/>
        <v>71</v>
      </c>
      <c r="E71" s="232" t="s">
        <v>106</v>
      </c>
      <c r="F71" s="198">
        <f>D70</f>
        <v>70</v>
      </c>
      <c r="G71" s="193" t="s">
        <v>52</v>
      </c>
      <c r="H71" s="193"/>
      <c r="I71" s="195"/>
      <c r="J71" s="195"/>
      <c r="K71" s="221">
        <f>K70+K69</f>
        <v>4</v>
      </c>
      <c r="L71" s="195" t="s">
        <v>81</v>
      </c>
      <c r="M71" s="204">
        <f>K71</f>
        <v>4</v>
      </c>
      <c r="N71" s="195" t="s">
        <v>81</v>
      </c>
      <c r="O71" s="205">
        <v>0</v>
      </c>
      <c r="P71" s="195"/>
      <c r="Q71" s="227">
        <f t="shared" si="4"/>
        <v>0</v>
      </c>
      <c r="R71" s="226">
        <v>0</v>
      </c>
      <c r="S71" s="227"/>
      <c r="T71" s="230" t="s">
        <v>48</v>
      </c>
      <c r="U71" s="183"/>
    </row>
    <row r="72" spans="3:21" s="172" customFormat="1" ht="20.25" customHeight="1">
      <c r="C72" s="185">
        <f>D72</f>
        <v>72</v>
      </c>
      <c r="D72" s="190">
        <f t="shared" si="13"/>
        <v>72</v>
      </c>
      <c r="E72" s="196" t="s">
        <v>108</v>
      </c>
      <c r="F72" s="197">
        <f>D68</f>
        <v>68</v>
      </c>
      <c r="G72" s="193"/>
      <c r="H72" s="193"/>
      <c r="I72" s="195"/>
      <c r="J72" s="195"/>
      <c r="K72" s="221"/>
      <c r="L72" s="195"/>
      <c r="M72" s="204"/>
      <c r="N72" s="195"/>
      <c r="O72" s="205"/>
      <c r="P72" s="195"/>
      <c r="Q72" s="227"/>
      <c r="R72" s="226"/>
      <c r="S72" s="227"/>
      <c r="T72" s="203"/>
      <c r="U72" s="183"/>
    </row>
    <row r="73" spans="3:21" s="172" customFormat="1" ht="20.25" customHeight="1">
      <c r="C73" s="185"/>
      <c r="D73" s="190">
        <f t="shared" si="13"/>
        <v>73</v>
      </c>
      <c r="E73" s="231" t="s">
        <v>102</v>
      </c>
      <c r="F73" s="198"/>
      <c r="G73" s="193" t="s">
        <v>52</v>
      </c>
      <c r="H73" s="193"/>
      <c r="I73" s="211" t="str">
        <f>I65</f>
        <v>26" nb</v>
      </c>
      <c r="J73" s="195"/>
      <c r="K73" s="221">
        <f>K65</f>
        <v>2</v>
      </c>
      <c r="L73" s="195" t="s">
        <v>81</v>
      </c>
      <c r="M73" s="204">
        <v>2</v>
      </c>
      <c r="N73" s="195" t="s">
        <v>81</v>
      </c>
      <c r="O73" s="205">
        <v>4</v>
      </c>
      <c r="P73" s="195"/>
      <c r="Q73" s="227">
        <f t="shared" si="4"/>
        <v>8</v>
      </c>
      <c r="R73" s="226">
        <v>0</v>
      </c>
      <c r="S73" s="227">
        <f t="shared" si="6"/>
        <v>8</v>
      </c>
      <c r="T73" s="230" t="s">
        <v>48</v>
      </c>
      <c r="U73" s="183" t="str">
        <f t="shared" si="5"/>
        <v>8 Hrs</v>
      </c>
    </row>
    <row r="74" spans="3:21" s="172" customFormat="1" ht="20.25" customHeight="1">
      <c r="C74" s="185"/>
      <c r="D74" s="190">
        <f t="shared" si="13"/>
        <v>74</v>
      </c>
      <c r="E74" s="231" t="s">
        <v>104</v>
      </c>
      <c r="F74" s="198">
        <f>D73</f>
        <v>73</v>
      </c>
      <c r="G74" s="193" t="s">
        <v>52</v>
      </c>
      <c r="H74" s="193"/>
      <c r="I74" s="211" t="str">
        <f>I66</f>
        <v>2"nb</v>
      </c>
      <c r="J74" s="195"/>
      <c r="K74" s="221">
        <f>K66</f>
        <v>2</v>
      </c>
      <c r="L74" s="195" t="s">
        <v>81</v>
      </c>
      <c r="M74" s="204">
        <v>2</v>
      </c>
      <c r="N74" s="195" t="s">
        <v>81</v>
      </c>
      <c r="O74" s="205">
        <v>0</v>
      </c>
      <c r="P74" s="195"/>
      <c r="Q74" s="227">
        <f t="shared" si="4"/>
        <v>0</v>
      </c>
      <c r="R74" s="226">
        <v>0</v>
      </c>
      <c r="S74" s="227"/>
      <c r="T74" s="230" t="s">
        <v>48</v>
      </c>
      <c r="U74" s="183"/>
    </row>
    <row r="75" spans="3:21" s="172" customFormat="1" ht="20.25" customHeight="1">
      <c r="C75" s="185"/>
      <c r="D75" s="190">
        <f t="shared" si="13"/>
        <v>75</v>
      </c>
      <c r="E75" s="231" t="s">
        <v>109</v>
      </c>
      <c r="F75" s="198">
        <f>D74</f>
        <v>74</v>
      </c>
      <c r="G75" s="193" t="s">
        <v>52</v>
      </c>
      <c r="H75" s="193"/>
      <c r="I75" s="195"/>
      <c r="J75" s="195"/>
      <c r="K75" s="221">
        <f>K74+K73</f>
        <v>4</v>
      </c>
      <c r="L75" s="195" t="s">
        <v>81</v>
      </c>
      <c r="M75" s="204">
        <v>4</v>
      </c>
      <c r="N75" s="195" t="s">
        <v>81</v>
      </c>
      <c r="O75" s="205">
        <v>0</v>
      </c>
      <c r="P75" s="195"/>
      <c r="Q75" s="227">
        <f t="shared" si="4"/>
        <v>0</v>
      </c>
      <c r="R75" s="226">
        <v>0</v>
      </c>
      <c r="S75" s="227"/>
      <c r="T75" s="230" t="s">
        <v>48</v>
      </c>
      <c r="U75" s="183"/>
    </row>
    <row r="76" spans="3:21" s="172" customFormat="1" ht="20.25" customHeight="1">
      <c r="C76" s="185">
        <f>D76</f>
        <v>76</v>
      </c>
      <c r="D76" s="190">
        <f t="shared" si="13"/>
        <v>76</v>
      </c>
      <c r="E76" s="196" t="s">
        <v>110</v>
      </c>
      <c r="F76" s="197">
        <f>D72</f>
        <v>72</v>
      </c>
      <c r="G76" s="193"/>
      <c r="H76" s="193"/>
      <c r="I76" s="195"/>
      <c r="J76" s="195"/>
      <c r="K76" s="221"/>
      <c r="L76" s="195"/>
      <c r="M76" s="204"/>
      <c r="N76" s="195"/>
      <c r="O76" s="205"/>
      <c r="P76" s="195"/>
      <c r="Q76" s="227"/>
      <c r="R76" s="226"/>
      <c r="S76" s="227"/>
      <c r="T76" s="203"/>
      <c r="U76" s="183"/>
    </row>
    <row r="77" spans="3:21" s="172" customFormat="1" ht="20.25" customHeight="1">
      <c r="C77" s="185"/>
      <c r="D77" s="190">
        <f t="shared" si="13"/>
        <v>77</v>
      </c>
      <c r="E77" s="232" t="s">
        <v>102</v>
      </c>
      <c r="F77" s="198"/>
      <c r="G77" s="193" t="s">
        <v>111</v>
      </c>
      <c r="H77" s="193"/>
      <c r="I77" s="211" t="str">
        <f>I65</f>
        <v>26" nb</v>
      </c>
      <c r="J77" s="195"/>
      <c r="K77" s="221">
        <v>2</v>
      </c>
      <c r="L77" s="195" t="s">
        <v>50</v>
      </c>
      <c r="M77" s="204">
        <v>2</v>
      </c>
      <c r="N77" s="195" t="s">
        <v>50</v>
      </c>
      <c r="O77" s="205">
        <v>4</v>
      </c>
      <c r="P77" s="195" t="s">
        <v>112</v>
      </c>
      <c r="Q77" s="227">
        <f t="shared" si="4"/>
        <v>8</v>
      </c>
      <c r="R77" s="226">
        <v>1</v>
      </c>
      <c r="S77" s="227">
        <f t="shared" si="6"/>
        <v>9</v>
      </c>
      <c r="T77" s="230" t="s">
        <v>48</v>
      </c>
      <c r="U77" s="183" t="str">
        <f t="shared" si="5"/>
        <v>9 Hrs</v>
      </c>
    </row>
    <row r="78" spans="3:21" s="172" customFormat="1" ht="20.25" customHeight="1">
      <c r="C78" s="185"/>
      <c r="D78" s="190">
        <f t="shared" si="13"/>
        <v>78</v>
      </c>
      <c r="E78" s="232" t="s">
        <v>104</v>
      </c>
      <c r="F78" s="198">
        <f>D77</f>
        <v>77</v>
      </c>
      <c r="G78" s="193" t="s">
        <v>111</v>
      </c>
      <c r="H78" s="193"/>
      <c r="I78" s="211" t="str">
        <f>I66</f>
        <v>2"nb</v>
      </c>
      <c r="J78" s="195"/>
      <c r="K78" s="221">
        <v>2</v>
      </c>
      <c r="L78" s="195" t="s">
        <v>50</v>
      </c>
      <c r="M78" s="204">
        <v>2</v>
      </c>
      <c r="N78" s="195" t="s">
        <v>50</v>
      </c>
      <c r="O78" s="205">
        <v>0</v>
      </c>
      <c r="P78" s="195" t="s">
        <v>112</v>
      </c>
      <c r="Q78" s="227">
        <f t="shared" si="4"/>
        <v>0</v>
      </c>
      <c r="R78" s="226">
        <v>1</v>
      </c>
      <c r="S78" s="227">
        <f t="shared" si="6"/>
        <v>1</v>
      </c>
      <c r="T78" s="230" t="s">
        <v>48</v>
      </c>
      <c r="U78" s="183" t="str">
        <f t="shared" si="5"/>
        <v>1 Hrs</v>
      </c>
    </row>
    <row r="79" spans="3:21" s="172" customFormat="1" ht="20.25" customHeight="1">
      <c r="C79" s="185"/>
      <c r="D79" s="190">
        <f t="shared" si="13"/>
        <v>79</v>
      </c>
      <c r="E79" s="232" t="s">
        <v>113</v>
      </c>
      <c r="F79" s="198">
        <f>D78</f>
        <v>78</v>
      </c>
      <c r="G79" s="193" t="s">
        <v>111</v>
      </c>
      <c r="H79" s="193"/>
      <c r="I79" s="195"/>
      <c r="J79" s="195"/>
      <c r="K79" s="221">
        <v>4</v>
      </c>
      <c r="L79" s="195" t="s">
        <v>50</v>
      </c>
      <c r="M79" s="204">
        <v>4</v>
      </c>
      <c r="N79" s="195" t="s">
        <v>50</v>
      </c>
      <c r="O79" s="205">
        <v>0.25</v>
      </c>
      <c r="P79" s="195" t="s">
        <v>112</v>
      </c>
      <c r="Q79" s="227">
        <f t="shared" si="4"/>
        <v>1</v>
      </c>
      <c r="R79" s="226">
        <v>1</v>
      </c>
      <c r="S79" s="227">
        <f t="shared" si="6"/>
        <v>2</v>
      </c>
      <c r="T79" s="230" t="s">
        <v>48</v>
      </c>
      <c r="U79" s="183" t="str">
        <f t="shared" si="5"/>
        <v>2 Hrs</v>
      </c>
    </row>
    <row r="80" spans="3:21" s="172" customFormat="1" ht="20.25" customHeight="1">
      <c r="C80" s="185">
        <f>D80</f>
        <v>80</v>
      </c>
      <c r="D80" s="190">
        <f t="shared" si="13"/>
        <v>80</v>
      </c>
      <c r="E80" s="196" t="s">
        <v>114</v>
      </c>
      <c r="F80" s="197">
        <f>D76</f>
        <v>76</v>
      </c>
      <c r="G80" s="193"/>
      <c r="H80" s="193"/>
      <c r="I80" s="195"/>
      <c r="J80" s="195"/>
      <c r="K80" s="221"/>
      <c r="L80" s="195"/>
      <c r="M80" s="204"/>
      <c r="N80" s="195"/>
      <c r="O80" s="205"/>
      <c r="P80" s="195"/>
      <c r="Q80" s="227"/>
      <c r="R80" s="226"/>
      <c r="S80" s="227"/>
      <c r="T80" s="203"/>
      <c r="U80" s="183"/>
    </row>
    <row r="81" spans="3:21" s="172" customFormat="1" ht="20.25" customHeight="1">
      <c r="C81" s="185"/>
      <c r="D81" s="190">
        <f t="shared" si="13"/>
        <v>81</v>
      </c>
      <c r="E81" s="231" t="s">
        <v>102</v>
      </c>
      <c r="F81" s="198"/>
      <c r="G81" s="193" t="s">
        <v>115</v>
      </c>
      <c r="H81" s="193"/>
      <c r="I81" s="211" t="s">
        <v>116</v>
      </c>
      <c r="J81" s="221" t="s">
        <v>117</v>
      </c>
      <c r="K81" s="221">
        <v>2</v>
      </c>
      <c r="L81" s="195" t="s">
        <v>50</v>
      </c>
      <c r="M81" s="214">
        <f>LEFT(J81,SEARCH(" ",J81,1)-1)*K81*0.001</f>
        <v>6.1080000000000005</v>
      </c>
      <c r="N81" s="195" t="s">
        <v>50</v>
      </c>
      <c r="O81" s="233">
        <f>6.12</f>
        <v>6.12</v>
      </c>
      <c r="P81" s="195" t="s">
        <v>112</v>
      </c>
      <c r="Q81" s="227">
        <f>M81*O81</f>
        <v>37.380960000000002</v>
      </c>
      <c r="R81" s="226">
        <v>1</v>
      </c>
      <c r="S81" s="227">
        <f t="shared" si="6"/>
        <v>38.380000000000003</v>
      </c>
      <c r="T81" s="230" t="s">
        <v>48</v>
      </c>
      <c r="U81" s="183" t="str">
        <f t="shared" si="5"/>
        <v>38.38 Hrs</v>
      </c>
    </row>
    <row r="82" spans="3:21" s="172" customFormat="1" ht="20.25" customHeight="1">
      <c r="C82" s="185"/>
      <c r="D82" s="190">
        <f t="shared" si="13"/>
        <v>82</v>
      </c>
      <c r="E82" s="231" t="s">
        <v>104</v>
      </c>
      <c r="F82" s="198">
        <f>D81</f>
        <v>81</v>
      </c>
      <c r="G82" s="193" t="s">
        <v>115</v>
      </c>
      <c r="H82" s="193"/>
      <c r="I82" s="211" t="str">
        <f>I70</f>
        <v>2"nb</v>
      </c>
      <c r="J82" s="221" t="s">
        <v>118</v>
      </c>
      <c r="K82" s="221">
        <v>2</v>
      </c>
      <c r="L82" s="195" t="s">
        <v>50</v>
      </c>
      <c r="M82" s="204">
        <v>0</v>
      </c>
      <c r="N82" s="195" t="s">
        <v>50</v>
      </c>
      <c r="O82" s="233"/>
      <c r="P82" s="195" t="s">
        <v>112</v>
      </c>
      <c r="Q82" s="227">
        <f t="shared" si="4"/>
        <v>0</v>
      </c>
      <c r="R82" s="226"/>
      <c r="S82" s="227"/>
      <c r="T82" s="230" t="s">
        <v>48</v>
      </c>
      <c r="U82" s="183"/>
    </row>
    <row r="83" spans="3:21" s="172" customFormat="1" ht="20.25" customHeight="1">
      <c r="C83" s="185"/>
      <c r="D83" s="190">
        <f t="shared" si="13"/>
        <v>83</v>
      </c>
      <c r="E83" s="231" t="s">
        <v>109</v>
      </c>
      <c r="F83" s="198">
        <f>D82</f>
        <v>82</v>
      </c>
      <c r="G83" s="193" t="s">
        <v>115</v>
      </c>
      <c r="H83" s="193"/>
      <c r="I83" s="195"/>
      <c r="J83" s="195"/>
      <c r="K83" s="221">
        <v>4</v>
      </c>
      <c r="L83" s="195" t="s">
        <v>50</v>
      </c>
      <c r="M83" s="204">
        <v>4</v>
      </c>
      <c r="N83" s="195" t="s">
        <v>50</v>
      </c>
      <c r="O83" s="205">
        <v>0.25</v>
      </c>
      <c r="P83" s="195" t="s">
        <v>112</v>
      </c>
      <c r="Q83" s="227">
        <f t="shared" si="4"/>
        <v>1</v>
      </c>
      <c r="R83" s="226">
        <v>1</v>
      </c>
      <c r="S83" s="227">
        <f t="shared" si="6"/>
        <v>2</v>
      </c>
      <c r="T83" s="230" t="s">
        <v>48</v>
      </c>
      <c r="U83" s="183" t="str">
        <f t="shared" si="5"/>
        <v>2 Hrs</v>
      </c>
    </row>
    <row r="84" spans="3:21" s="172" customFormat="1" ht="20.25" customHeight="1">
      <c r="C84" s="185">
        <f>D84</f>
        <v>84</v>
      </c>
      <c r="D84" s="190">
        <f t="shared" si="13"/>
        <v>84</v>
      </c>
      <c r="E84" s="196" t="s">
        <v>119</v>
      </c>
      <c r="F84" s="197">
        <f>D80</f>
        <v>80</v>
      </c>
      <c r="G84" s="193"/>
      <c r="H84" s="193"/>
      <c r="I84" s="195"/>
      <c r="J84" s="195"/>
      <c r="K84" s="221"/>
      <c r="L84" s="195"/>
      <c r="M84" s="204"/>
      <c r="N84" s="195"/>
      <c r="O84" s="205"/>
      <c r="P84" s="195"/>
      <c r="Q84" s="227"/>
      <c r="R84" s="226"/>
      <c r="S84" s="227"/>
      <c r="T84" s="203"/>
      <c r="U84" s="183"/>
    </row>
    <row r="85" spans="3:21" s="172" customFormat="1" ht="20.25" customHeight="1">
      <c r="C85" s="185"/>
      <c r="D85" s="190">
        <f t="shared" si="13"/>
        <v>85</v>
      </c>
      <c r="E85" s="232" t="s">
        <v>102</v>
      </c>
      <c r="F85" s="198"/>
      <c r="G85" s="193" t="s">
        <v>44</v>
      </c>
      <c r="H85" s="193"/>
      <c r="I85" s="211" t="str">
        <f>I73</f>
        <v>26" nb</v>
      </c>
      <c r="J85" s="195"/>
      <c r="K85" s="221">
        <v>2</v>
      </c>
      <c r="L85" s="195" t="s">
        <v>50</v>
      </c>
      <c r="M85" s="204">
        <v>1</v>
      </c>
      <c r="N85" s="195" t="s">
        <v>50</v>
      </c>
      <c r="O85" s="233">
        <v>4</v>
      </c>
      <c r="P85" s="195" t="s">
        <v>112</v>
      </c>
      <c r="Q85" s="227">
        <f t="shared" si="4"/>
        <v>4</v>
      </c>
      <c r="R85" s="226">
        <v>1</v>
      </c>
      <c r="S85" s="227">
        <f t="shared" si="6"/>
        <v>5</v>
      </c>
      <c r="T85" s="230" t="s">
        <v>48</v>
      </c>
      <c r="U85" s="183" t="str">
        <f t="shared" si="5"/>
        <v>5 Hrs</v>
      </c>
    </row>
    <row r="86" spans="3:21" s="172" customFormat="1" ht="20.25" customHeight="1">
      <c r="C86" s="185"/>
      <c r="D86" s="190">
        <f t="shared" si="13"/>
        <v>86</v>
      </c>
      <c r="E86" s="232" t="s">
        <v>104</v>
      </c>
      <c r="F86" s="198">
        <f>D85</f>
        <v>85</v>
      </c>
      <c r="G86" s="193" t="s">
        <v>44</v>
      </c>
      <c r="H86" s="193"/>
      <c r="I86" s="211" t="str">
        <f>I74</f>
        <v>2"nb</v>
      </c>
      <c r="J86" s="195"/>
      <c r="K86" s="221">
        <v>2</v>
      </c>
      <c r="L86" s="195" t="s">
        <v>50</v>
      </c>
      <c r="M86" s="204">
        <v>1</v>
      </c>
      <c r="N86" s="195" t="s">
        <v>50</v>
      </c>
      <c r="O86" s="233">
        <v>1</v>
      </c>
      <c r="P86" s="195" t="s">
        <v>112</v>
      </c>
      <c r="Q86" s="227">
        <f t="shared" si="4"/>
        <v>1</v>
      </c>
      <c r="R86" s="226">
        <v>1</v>
      </c>
      <c r="S86" s="227">
        <f t="shared" si="6"/>
        <v>2</v>
      </c>
      <c r="T86" s="230" t="s">
        <v>48</v>
      </c>
      <c r="U86" s="183" t="str">
        <f t="shared" si="5"/>
        <v>2 Hrs</v>
      </c>
    </row>
    <row r="87" spans="3:21" s="172" customFormat="1" ht="20.25" customHeight="1">
      <c r="C87" s="185"/>
      <c r="D87" s="190">
        <f t="shared" si="13"/>
        <v>87</v>
      </c>
      <c r="E87" s="232" t="s">
        <v>109</v>
      </c>
      <c r="F87" s="198">
        <f>D86</f>
        <v>86</v>
      </c>
      <c r="G87" s="193" t="s">
        <v>44</v>
      </c>
      <c r="H87" s="193"/>
      <c r="I87" s="195"/>
      <c r="J87" s="195"/>
      <c r="K87" s="221">
        <v>4</v>
      </c>
      <c r="L87" s="195" t="s">
        <v>50</v>
      </c>
      <c r="M87" s="204">
        <v>1</v>
      </c>
      <c r="N87" s="195" t="s">
        <v>50</v>
      </c>
      <c r="O87" s="205">
        <v>1</v>
      </c>
      <c r="P87" s="195" t="s">
        <v>112</v>
      </c>
      <c r="Q87" s="227">
        <f t="shared" si="4"/>
        <v>1</v>
      </c>
      <c r="R87" s="226">
        <v>1</v>
      </c>
      <c r="S87" s="227">
        <f t="shared" si="6"/>
        <v>2</v>
      </c>
      <c r="T87" s="230" t="s">
        <v>48</v>
      </c>
      <c r="U87" s="183" t="str">
        <f t="shared" si="5"/>
        <v>2 Hrs</v>
      </c>
    </row>
    <row r="88" spans="3:21" s="172" customFormat="1" ht="20.25" customHeight="1">
      <c r="C88" s="185">
        <f>D88</f>
        <v>88</v>
      </c>
      <c r="D88" s="190">
        <f t="shared" si="13"/>
        <v>88</v>
      </c>
      <c r="E88" s="196" t="s">
        <v>120</v>
      </c>
      <c r="F88" s="197">
        <f>D84</f>
        <v>84</v>
      </c>
      <c r="G88" s="193"/>
      <c r="H88" s="193"/>
      <c r="I88" s="195"/>
      <c r="J88" s="195"/>
      <c r="K88" s="221"/>
      <c r="L88" s="195"/>
      <c r="M88" s="204"/>
      <c r="N88" s="195"/>
      <c r="O88" s="205"/>
      <c r="P88" s="195"/>
      <c r="Q88" s="227"/>
      <c r="R88" s="226"/>
      <c r="S88" s="227"/>
      <c r="T88" s="203"/>
      <c r="U88" s="183"/>
    </row>
    <row r="89" spans="3:21" s="172" customFormat="1" ht="20.25" customHeight="1">
      <c r="C89" s="185"/>
      <c r="D89" s="190">
        <f t="shared" si="13"/>
        <v>89</v>
      </c>
      <c r="E89" s="231" t="s">
        <v>102</v>
      </c>
      <c r="F89" s="198"/>
      <c r="G89" s="193" t="s">
        <v>121</v>
      </c>
      <c r="H89" s="193"/>
      <c r="I89" s="211" t="str">
        <f>I77</f>
        <v>26" nb</v>
      </c>
      <c r="J89" s="195"/>
      <c r="K89" s="221">
        <v>2</v>
      </c>
      <c r="L89" s="195" t="s">
        <v>50</v>
      </c>
      <c r="M89" s="204">
        <v>0</v>
      </c>
      <c r="N89" s="195" t="s">
        <v>50</v>
      </c>
      <c r="O89" s="233"/>
      <c r="P89" s="195" t="s">
        <v>112</v>
      </c>
      <c r="Q89" s="227">
        <f t="shared" si="4"/>
        <v>0</v>
      </c>
      <c r="R89" s="226">
        <v>1</v>
      </c>
      <c r="S89" s="227">
        <f t="shared" si="6"/>
        <v>1</v>
      </c>
      <c r="T89" s="230" t="s">
        <v>48</v>
      </c>
      <c r="U89" s="183" t="str">
        <f t="shared" si="5"/>
        <v>1 Hrs</v>
      </c>
    </row>
    <row r="90" spans="3:21" s="172" customFormat="1" ht="20.25" customHeight="1">
      <c r="C90" s="185"/>
      <c r="D90" s="190">
        <f t="shared" si="13"/>
        <v>90</v>
      </c>
      <c r="E90" s="231" t="s">
        <v>104</v>
      </c>
      <c r="F90" s="198">
        <f>D89</f>
        <v>89</v>
      </c>
      <c r="G90" s="193" t="s">
        <v>121</v>
      </c>
      <c r="H90" s="193"/>
      <c r="I90" s="211" t="str">
        <f>I78</f>
        <v>2"nb</v>
      </c>
      <c r="J90" s="195"/>
      <c r="K90" s="221">
        <v>2</v>
      </c>
      <c r="L90" s="195" t="s">
        <v>50</v>
      </c>
      <c r="M90" s="204">
        <v>0</v>
      </c>
      <c r="N90" s="195" t="s">
        <v>50</v>
      </c>
      <c r="O90" s="233"/>
      <c r="P90" s="195" t="s">
        <v>112</v>
      </c>
      <c r="Q90" s="227">
        <f t="shared" si="4"/>
        <v>0</v>
      </c>
      <c r="R90" s="226">
        <v>1</v>
      </c>
      <c r="S90" s="227">
        <f t="shared" si="6"/>
        <v>1</v>
      </c>
      <c r="T90" s="230" t="s">
        <v>48</v>
      </c>
      <c r="U90" s="183" t="str">
        <f t="shared" si="5"/>
        <v>1 Hrs</v>
      </c>
    </row>
    <row r="91" spans="3:21" s="172" customFormat="1" ht="20.25" customHeight="1">
      <c r="C91" s="185"/>
      <c r="D91" s="190">
        <f t="shared" si="13"/>
        <v>91</v>
      </c>
      <c r="E91" s="231" t="s">
        <v>109</v>
      </c>
      <c r="F91" s="198">
        <f>D90</f>
        <v>90</v>
      </c>
      <c r="G91" s="193" t="s">
        <v>121</v>
      </c>
      <c r="H91" s="193"/>
      <c r="I91" s="195"/>
      <c r="J91" s="195"/>
      <c r="K91" s="221">
        <v>4</v>
      </c>
      <c r="L91" s="195" t="s">
        <v>50</v>
      </c>
      <c r="M91" s="204">
        <v>0</v>
      </c>
      <c r="N91" s="195" t="s">
        <v>50</v>
      </c>
      <c r="O91" s="205"/>
      <c r="P91" s="195" t="s">
        <v>112</v>
      </c>
      <c r="Q91" s="227">
        <f t="shared" si="4"/>
        <v>0</v>
      </c>
      <c r="R91" s="226">
        <v>1</v>
      </c>
      <c r="S91" s="227">
        <f t="shared" si="6"/>
        <v>1</v>
      </c>
      <c r="T91" s="230" t="s">
        <v>48</v>
      </c>
      <c r="U91" s="183" t="str">
        <f t="shared" si="5"/>
        <v>1 Hrs</v>
      </c>
    </row>
    <row r="92" spans="3:21" s="172" customFormat="1" ht="20.25" customHeight="1">
      <c r="C92" s="185">
        <f>D92</f>
        <v>92</v>
      </c>
      <c r="D92" s="190">
        <f t="shared" si="13"/>
        <v>92</v>
      </c>
      <c r="E92" s="196" t="s">
        <v>122</v>
      </c>
      <c r="F92" s="197">
        <f>D88</f>
        <v>88</v>
      </c>
      <c r="G92" s="193"/>
      <c r="H92" s="193"/>
      <c r="I92" s="195"/>
      <c r="J92" s="195"/>
      <c r="K92" s="221"/>
      <c r="L92" s="195"/>
      <c r="M92" s="204"/>
      <c r="N92" s="195"/>
      <c r="O92" s="205"/>
      <c r="P92" s="195"/>
      <c r="Q92" s="227"/>
      <c r="R92" s="226"/>
      <c r="S92" s="227"/>
      <c r="T92" s="203"/>
      <c r="U92" s="183"/>
    </row>
    <row r="93" spans="3:21" s="172" customFormat="1" ht="20.25" customHeight="1">
      <c r="C93" s="185"/>
      <c r="D93" s="190">
        <f t="shared" si="13"/>
        <v>93</v>
      </c>
      <c r="E93" s="232" t="s">
        <v>102</v>
      </c>
      <c r="F93" s="198"/>
      <c r="G93" s="193" t="s">
        <v>121</v>
      </c>
      <c r="H93" s="193"/>
      <c r="I93" s="211" t="s">
        <v>123</v>
      </c>
      <c r="J93" s="195" t="str">
        <f>J81</f>
        <v>3054 mm</v>
      </c>
      <c r="K93" s="221">
        <v>2</v>
      </c>
      <c r="L93" s="195" t="s">
        <v>50</v>
      </c>
      <c r="M93" s="214">
        <f>LEFT(J93,SEARCH(" ",J93,1)-1)*K93*0.001</f>
        <v>6.1080000000000005</v>
      </c>
      <c r="N93" s="195" t="s">
        <v>50</v>
      </c>
      <c r="O93" s="233">
        <v>1</v>
      </c>
      <c r="P93" s="195" t="s">
        <v>112</v>
      </c>
      <c r="Q93" s="227">
        <f t="shared" ref="Q93:Q156" si="14">M93*O93</f>
        <v>6.1080000000000005</v>
      </c>
      <c r="R93" s="226">
        <v>1</v>
      </c>
      <c r="S93" s="227">
        <f t="shared" ref="S93:S156" si="15">ROUND(Q93+R93,2)</f>
        <v>7.11</v>
      </c>
      <c r="T93" s="230" t="s">
        <v>48</v>
      </c>
      <c r="U93" s="183" t="str">
        <f t="shared" ref="U93:U155" si="16">CONCATENATE(S93," ",T93)</f>
        <v>7.11 Hrs</v>
      </c>
    </row>
    <row r="94" spans="3:21" s="172" customFormat="1" ht="20.25" customHeight="1">
      <c r="C94" s="185"/>
      <c r="D94" s="190">
        <f t="shared" si="13"/>
        <v>94</v>
      </c>
      <c r="E94" s="232" t="s">
        <v>104</v>
      </c>
      <c r="F94" s="198">
        <f t="shared" ref="F94:F156" si="17">D93</f>
        <v>93</v>
      </c>
      <c r="G94" s="193" t="s">
        <v>121</v>
      </c>
      <c r="H94" s="193"/>
      <c r="I94" s="211">
        <v>18</v>
      </c>
      <c r="J94" s="198" t="str">
        <f>J82</f>
        <v>272 MM</v>
      </c>
      <c r="K94" s="221">
        <v>2</v>
      </c>
      <c r="L94" s="195" t="s">
        <v>50</v>
      </c>
      <c r="M94" s="214">
        <f>LEFT(J94,SEARCH(" ",J94,1)-1)*K94*0.001</f>
        <v>0.54400000000000004</v>
      </c>
      <c r="N94" s="195" t="s">
        <v>50</v>
      </c>
      <c r="O94" s="233">
        <v>0.5</v>
      </c>
      <c r="P94" s="195" t="s">
        <v>112</v>
      </c>
      <c r="Q94" s="227">
        <f t="shared" si="14"/>
        <v>0.27200000000000002</v>
      </c>
      <c r="R94" s="226">
        <v>1</v>
      </c>
      <c r="S94" s="227">
        <f t="shared" si="15"/>
        <v>1.27</v>
      </c>
      <c r="T94" s="230" t="s">
        <v>48</v>
      </c>
      <c r="U94" s="183" t="str">
        <f t="shared" si="16"/>
        <v>1.27 Hrs</v>
      </c>
    </row>
    <row r="95" spans="3:21" s="172" customFormat="1" ht="20.25" customHeight="1">
      <c r="C95" s="185"/>
      <c r="D95" s="190">
        <f t="shared" si="13"/>
        <v>95</v>
      </c>
      <c r="E95" s="232" t="s">
        <v>109</v>
      </c>
      <c r="F95" s="198">
        <f t="shared" si="17"/>
        <v>94</v>
      </c>
      <c r="G95" s="193" t="s">
        <v>121</v>
      </c>
      <c r="H95" s="193"/>
      <c r="I95" s="195"/>
      <c r="J95" s="195"/>
      <c r="K95" s="221">
        <v>4</v>
      </c>
      <c r="L95" s="195" t="s">
        <v>50</v>
      </c>
      <c r="M95" s="204">
        <v>1</v>
      </c>
      <c r="N95" s="195" t="s">
        <v>50</v>
      </c>
      <c r="O95" s="205">
        <v>1</v>
      </c>
      <c r="P95" s="195" t="s">
        <v>112</v>
      </c>
      <c r="Q95" s="227">
        <f t="shared" si="14"/>
        <v>1</v>
      </c>
      <c r="R95" s="226">
        <v>1</v>
      </c>
      <c r="S95" s="227">
        <f t="shared" si="15"/>
        <v>2</v>
      </c>
      <c r="T95" s="230" t="s">
        <v>48</v>
      </c>
      <c r="U95" s="183" t="str">
        <f t="shared" si="16"/>
        <v>2 Hrs</v>
      </c>
    </row>
    <row r="96" spans="3:21" s="172" customFormat="1" ht="20.25" customHeight="1">
      <c r="C96" s="185">
        <f>D96</f>
        <v>96</v>
      </c>
      <c r="D96" s="190">
        <f t="shared" si="13"/>
        <v>96</v>
      </c>
      <c r="E96" s="196" t="s">
        <v>124</v>
      </c>
      <c r="F96" s="197">
        <f>D92</f>
        <v>92</v>
      </c>
      <c r="G96" s="193"/>
      <c r="H96" s="193"/>
      <c r="I96" s="195"/>
      <c r="J96" s="195"/>
      <c r="K96" s="221"/>
      <c r="L96" s="195"/>
      <c r="M96" s="204"/>
      <c r="N96" s="195"/>
      <c r="O96" s="205"/>
      <c r="P96" s="195"/>
      <c r="Q96" s="227"/>
      <c r="R96" s="226"/>
      <c r="S96" s="227"/>
      <c r="T96" s="203"/>
      <c r="U96" s="183"/>
    </row>
    <row r="97" spans="3:21" s="172" customFormat="1" ht="20.25" customHeight="1">
      <c r="C97" s="185"/>
      <c r="D97" s="190">
        <f t="shared" si="13"/>
        <v>97</v>
      </c>
      <c r="E97" s="194" t="s">
        <v>125</v>
      </c>
      <c r="F97" s="198"/>
      <c r="G97" s="193" t="s">
        <v>44</v>
      </c>
      <c r="H97" s="193"/>
      <c r="I97" s="211" t="s">
        <v>103</v>
      </c>
      <c r="J97" s="195" t="str">
        <f>J93</f>
        <v>3054 mm</v>
      </c>
      <c r="K97" s="221">
        <v>2</v>
      </c>
      <c r="L97" s="195" t="s">
        <v>81</v>
      </c>
      <c r="M97" s="204">
        <f>K97</f>
        <v>2</v>
      </c>
      <c r="N97" s="195" t="s">
        <v>81</v>
      </c>
      <c r="O97" s="205">
        <v>1</v>
      </c>
      <c r="P97" s="195"/>
      <c r="Q97" s="227">
        <f t="shared" ref="Q97:Q99" si="18">M97*O97</f>
        <v>2</v>
      </c>
      <c r="R97" s="226">
        <v>1</v>
      </c>
      <c r="S97" s="227">
        <f t="shared" si="15"/>
        <v>3</v>
      </c>
      <c r="T97" s="230" t="s">
        <v>48</v>
      </c>
      <c r="U97" s="183" t="str">
        <f t="shared" si="16"/>
        <v>3 Hrs</v>
      </c>
    </row>
    <row r="98" spans="3:21" s="172" customFormat="1" ht="20.25" customHeight="1">
      <c r="C98" s="185"/>
      <c r="D98" s="190">
        <f t="shared" si="13"/>
        <v>98</v>
      </c>
      <c r="E98" s="194" t="s">
        <v>104</v>
      </c>
      <c r="F98" s="198">
        <f t="shared" si="17"/>
        <v>97</v>
      </c>
      <c r="G98" s="193" t="s">
        <v>44</v>
      </c>
      <c r="H98" s="193"/>
      <c r="I98" s="211" t="s">
        <v>105</v>
      </c>
      <c r="J98" s="195" t="str">
        <f>J94</f>
        <v>272 MM</v>
      </c>
      <c r="K98" s="221">
        <v>2</v>
      </c>
      <c r="L98" s="195" t="s">
        <v>81</v>
      </c>
      <c r="M98" s="204">
        <f>K98</f>
        <v>2</v>
      </c>
      <c r="N98" s="195" t="s">
        <v>81</v>
      </c>
      <c r="O98" s="205">
        <v>1</v>
      </c>
      <c r="P98" s="195"/>
      <c r="Q98" s="227">
        <f t="shared" si="18"/>
        <v>2</v>
      </c>
      <c r="R98" s="226">
        <v>1</v>
      </c>
      <c r="S98" s="227">
        <f t="shared" si="15"/>
        <v>3</v>
      </c>
      <c r="T98" s="230" t="s">
        <v>48</v>
      </c>
      <c r="U98" s="183" t="str">
        <f t="shared" si="16"/>
        <v>3 Hrs</v>
      </c>
    </row>
    <row r="99" spans="3:21" s="172" customFormat="1" ht="20.25" customHeight="1">
      <c r="C99" s="185"/>
      <c r="D99" s="190">
        <f t="shared" si="13"/>
        <v>99</v>
      </c>
      <c r="E99" s="194" t="s">
        <v>109</v>
      </c>
      <c r="F99" s="198">
        <f t="shared" si="17"/>
        <v>98</v>
      </c>
      <c r="G99" s="193" t="s">
        <v>44</v>
      </c>
      <c r="H99" s="193"/>
      <c r="I99" s="195"/>
      <c r="J99" s="195"/>
      <c r="K99" s="221">
        <f>K98+K97</f>
        <v>4</v>
      </c>
      <c r="L99" s="195" t="s">
        <v>81</v>
      </c>
      <c r="M99" s="204">
        <f>K99</f>
        <v>4</v>
      </c>
      <c r="N99" s="195" t="s">
        <v>81</v>
      </c>
      <c r="O99" s="205">
        <v>0.5</v>
      </c>
      <c r="P99" s="195"/>
      <c r="Q99" s="227">
        <f t="shared" si="18"/>
        <v>2</v>
      </c>
      <c r="R99" s="226">
        <v>1</v>
      </c>
      <c r="S99" s="227">
        <f t="shared" si="15"/>
        <v>3</v>
      </c>
      <c r="T99" s="230" t="s">
        <v>48</v>
      </c>
      <c r="U99" s="183" t="str">
        <f t="shared" si="16"/>
        <v>3 Hrs</v>
      </c>
    </row>
    <row r="100" spans="3:21" s="172" customFormat="1" ht="20.25" customHeight="1">
      <c r="C100" s="185">
        <f>D100</f>
        <v>100</v>
      </c>
      <c r="D100" s="190">
        <f t="shared" si="13"/>
        <v>100</v>
      </c>
      <c r="E100" s="196" t="s">
        <v>126</v>
      </c>
      <c r="F100" s="197">
        <f>D96</f>
        <v>96</v>
      </c>
      <c r="G100" s="193"/>
      <c r="H100" s="193"/>
      <c r="I100" s="195"/>
      <c r="J100" s="195"/>
      <c r="K100" s="221"/>
      <c r="L100" s="195"/>
      <c r="M100" s="204"/>
      <c r="N100" s="195"/>
      <c r="O100" s="205"/>
      <c r="P100" s="195"/>
      <c r="Q100" s="227"/>
      <c r="R100" s="226"/>
      <c r="S100" s="227"/>
      <c r="T100" s="203"/>
      <c r="U100" s="183"/>
    </row>
    <row r="101" spans="3:21" s="172" customFormat="1" ht="20.25" customHeight="1">
      <c r="C101" s="185"/>
      <c r="D101" s="190">
        <f t="shared" si="13"/>
        <v>101</v>
      </c>
      <c r="E101" s="194" t="s">
        <v>125</v>
      </c>
      <c r="F101" s="198"/>
      <c r="G101" s="193" t="s">
        <v>52</v>
      </c>
      <c r="H101" s="193"/>
      <c r="I101" s="211" t="str">
        <f>I97</f>
        <v>26" nb</v>
      </c>
      <c r="J101" s="195"/>
      <c r="K101" s="221">
        <f>K97</f>
        <v>2</v>
      </c>
      <c r="L101" s="195" t="s">
        <v>81</v>
      </c>
      <c r="M101" s="204">
        <f>K101</f>
        <v>2</v>
      </c>
      <c r="N101" s="195" t="s">
        <v>81</v>
      </c>
      <c r="O101" s="205">
        <v>0</v>
      </c>
      <c r="P101" s="195"/>
      <c r="Q101" s="227">
        <f t="shared" si="14"/>
        <v>0</v>
      </c>
      <c r="R101" s="226">
        <v>0</v>
      </c>
      <c r="S101" s="227"/>
      <c r="T101" s="230" t="s">
        <v>48</v>
      </c>
      <c r="U101" s="183"/>
    </row>
    <row r="102" spans="3:21" s="172" customFormat="1" ht="20.25" customHeight="1">
      <c r="C102" s="185"/>
      <c r="D102" s="190">
        <f t="shared" si="13"/>
        <v>102</v>
      </c>
      <c r="E102" s="194" t="s">
        <v>104</v>
      </c>
      <c r="F102" s="198">
        <f t="shared" si="17"/>
        <v>101</v>
      </c>
      <c r="G102" s="193" t="s">
        <v>52</v>
      </c>
      <c r="H102" s="193"/>
      <c r="I102" s="211" t="str">
        <f>I98</f>
        <v>2"nb</v>
      </c>
      <c r="J102" s="195"/>
      <c r="K102" s="221">
        <f>K98</f>
        <v>2</v>
      </c>
      <c r="L102" s="195" t="s">
        <v>81</v>
      </c>
      <c r="M102" s="204">
        <f>K102</f>
        <v>2</v>
      </c>
      <c r="N102" s="195" t="s">
        <v>81</v>
      </c>
      <c r="O102" s="205">
        <v>0</v>
      </c>
      <c r="P102" s="195"/>
      <c r="Q102" s="227">
        <f t="shared" si="14"/>
        <v>0</v>
      </c>
      <c r="R102" s="226">
        <v>0</v>
      </c>
      <c r="S102" s="227"/>
      <c r="T102" s="230" t="s">
        <v>48</v>
      </c>
      <c r="U102" s="183"/>
    </row>
    <row r="103" spans="3:21" s="172" customFormat="1" ht="20.25" customHeight="1">
      <c r="C103" s="185"/>
      <c r="D103" s="190">
        <f t="shared" si="13"/>
        <v>103</v>
      </c>
      <c r="E103" s="194" t="s">
        <v>109</v>
      </c>
      <c r="F103" s="198">
        <f t="shared" si="17"/>
        <v>102</v>
      </c>
      <c r="G103" s="193" t="s">
        <v>52</v>
      </c>
      <c r="H103" s="193"/>
      <c r="I103" s="195"/>
      <c r="J103" s="195"/>
      <c r="K103" s="221">
        <f>K102+K101</f>
        <v>4</v>
      </c>
      <c r="L103" s="195" t="s">
        <v>81</v>
      </c>
      <c r="M103" s="204">
        <f>K103</f>
        <v>4</v>
      </c>
      <c r="N103" s="195" t="s">
        <v>81</v>
      </c>
      <c r="O103" s="205">
        <v>0</v>
      </c>
      <c r="P103" s="195"/>
      <c r="Q103" s="227">
        <f t="shared" si="14"/>
        <v>0</v>
      </c>
      <c r="R103" s="226">
        <v>0</v>
      </c>
      <c r="S103" s="227"/>
      <c r="T103" s="230" t="s">
        <v>48</v>
      </c>
      <c r="U103" s="183"/>
    </row>
    <row r="104" spans="3:21" s="172" customFormat="1" ht="20.25" customHeight="1">
      <c r="C104" s="185">
        <f>D104</f>
        <v>104</v>
      </c>
      <c r="D104" s="190">
        <f t="shared" si="13"/>
        <v>104</v>
      </c>
      <c r="E104" s="196" t="s">
        <v>127</v>
      </c>
      <c r="F104" s="197">
        <f>D100</f>
        <v>100</v>
      </c>
      <c r="G104" s="193"/>
      <c r="H104" s="193"/>
      <c r="I104" s="195"/>
      <c r="J104" s="195"/>
      <c r="K104" s="221"/>
      <c r="L104" s="195"/>
      <c r="M104" s="204"/>
      <c r="N104" s="195"/>
      <c r="O104" s="205"/>
      <c r="P104" s="195"/>
      <c r="Q104" s="227"/>
      <c r="R104" s="226"/>
      <c r="S104" s="227"/>
      <c r="T104" s="203"/>
      <c r="U104" s="183"/>
    </row>
    <row r="105" spans="3:21" s="172" customFormat="1" ht="20.25" customHeight="1">
      <c r="C105" s="185"/>
      <c r="D105" s="190">
        <f t="shared" si="13"/>
        <v>105</v>
      </c>
      <c r="E105" s="194" t="s">
        <v>125</v>
      </c>
      <c r="F105" s="198"/>
      <c r="G105" s="193" t="s">
        <v>121</v>
      </c>
      <c r="H105" s="193"/>
      <c r="I105" s="211" t="str">
        <f>I97</f>
        <v>26" nb</v>
      </c>
      <c r="J105" s="195"/>
      <c r="K105" s="221">
        <f>K97</f>
        <v>2</v>
      </c>
      <c r="L105" s="195" t="s">
        <v>81</v>
      </c>
      <c r="M105" s="204">
        <v>2</v>
      </c>
      <c r="N105" s="195" t="s">
        <v>81</v>
      </c>
      <c r="O105" s="205">
        <v>4</v>
      </c>
      <c r="P105" s="195"/>
      <c r="Q105" s="227">
        <f t="shared" si="14"/>
        <v>8</v>
      </c>
      <c r="R105" s="226">
        <v>0</v>
      </c>
      <c r="S105" s="227">
        <f t="shared" si="15"/>
        <v>8</v>
      </c>
      <c r="T105" s="230" t="s">
        <v>48</v>
      </c>
      <c r="U105" s="183" t="str">
        <f t="shared" si="16"/>
        <v>8 Hrs</v>
      </c>
    </row>
    <row r="106" spans="3:21" s="172" customFormat="1" ht="20.25" customHeight="1">
      <c r="C106" s="185"/>
      <c r="D106" s="190">
        <f t="shared" si="13"/>
        <v>106</v>
      </c>
      <c r="E106" s="194" t="s">
        <v>104</v>
      </c>
      <c r="F106" s="198">
        <f t="shared" si="17"/>
        <v>105</v>
      </c>
      <c r="G106" s="193" t="s">
        <v>121</v>
      </c>
      <c r="H106" s="193"/>
      <c r="I106" s="211" t="str">
        <f>I98</f>
        <v>2"nb</v>
      </c>
      <c r="J106" s="195"/>
      <c r="K106" s="221">
        <f>K98</f>
        <v>2</v>
      </c>
      <c r="L106" s="195" t="s">
        <v>81</v>
      </c>
      <c r="M106" s="204">
        <v>2</v>
      </c>
      <c r="N106" s="195" t="s">
        <v>81</v>
      </c>
      <c r="O106" s="205">
        <v>0</v>
      </c>
      <c r="P106" s="195"/>
      <c r="Q106" s="227">
        <f t="shared" si="14"/>
        <v>0</v>
      </c>
      <c r="R106" s="226">
        <v>0</v>
      </c>
      <c r="S106" s="227"/>
      <c r="T106" s="230" t="s">
        <v>48</v>
      </c>
      <c r="U106" s="183"/>
    </row>
    <row r="107" spans="3:21" s="172" customFormat="1" ht="20.25" customHeight="1">
      <c r="C107" s="185"/>
      <c r="D107" s="190">
        <f t="shared" si="13"/>
        <v>107</v>
      </c>
      <c r="E107" s="194" t="s">
        <v>109</v>
      </c>
      <c r="F107" s="198">
        <f t="shared" si="17"/>
        <v>106</v>
      </c>
      <c r="G107" s="193" t="s">
        <v>121</v>
      </c>
      <c r="H107" s="193"/>
      <c r="I107" s="195"/>
      <c r="J107" s="195"/>
      <c r="K107" s="221">
        <f>K106+K105</f>
        <v>4</v>
      </c>
      <c r="L107" s="195" t="s">
        <v>81</v>
      </c>
      <c r="M107" s="204">
        <v>4</v>
      </c>
      <c r="N107" s="195" t="s">
        <v>81</v>
      </c>
      <c r="O107" s="205">
        <v>0</v>
      </c>
      <c r="P107" s="195"/>
      <c r="Q107" s="227">
        <f t="shared" si="14"/>
        <v>0</v>
      </c>
      <c r="R107" s="226">
        <v>0</v>
      </c>
      <c r="S107" s="227"/>
      <c r="T107" s="230" t="s">
        <v>48</v>
      </c>
      <c r="U107" s="183"/>
    </row>
    <row r="108" spans="3:21" s="172" customFormat="1" ht="20.25" customHeight="1">
      <c r="C108" s="185">
        <f>D108</f>
        <v>108</v>
      </c>
      <c r="D108" s="190">
        <f t="shared" si="13"/>
        <v>108</v>
      </c>
      <c r="E108" s="196" t="s">
        <v>128</v>
      </c>
      <c r="F108" s="197">
        <f>D104</f>
        <v>104</v>
      </c>
      <c r="G108" s="193"/>
      <c r="H108" s="193"/>
      <c r="I108" s="195"/>
      <c r="J108" s="195"/>
      <c r="K108" s="221"/>
      <c r="L108" s="195"/>
      <c r="M108" s="204"/>
      <c r="N108" s="195"/>
      <c r="O108" s="205"/>
      <c r="P108" s="195"/>
      <c r="Q108" s="227"/>
      <c r="R108" s="226"/>
      <c r="S108" s="227"/>
      <c r="T108" s="203"/>
      <c r="U108" s="183"/>
    </row>
    <row r="109" spans="3:21" s="172" customFormat="1" ht="20.25" customHeight="1">
      <c r="C109" s="185"/>
      <c r="D109" s="190">
        <f t="shared" si="13"/>
        <v>109</v>
      </c>
      <c r="E109" s="194" t="s">
        <v>125</v>
      </c>
      <c r="F109" s="198"/>
      <c r="G109" s="193" t="s">
        <v>111</v>
      </c>
      <c r="H109" s="193"/>
      <c r="I109" s="211" t="str">
        <f>I97</f>
        <v>26" nb</v>
      </c>
      <c r="J109" s="195"/>
      <c r="K109" s="221">
        <v>2</v>
      </c>
      <c r="L109" s="195" t="s">
        <v>50</v>
      </c>
      <c r="M109" s="204">
        <v>2</v>
      </c>
      <c r="N109" s="195" t="s">
        <v>50</v>
      </c>
      <c r="O109" s="205">
        <v>4</v>
      </c>
      <c r="P109" s="195" t="s">
        <v>112</v>
      </c>
      <c r="Q109" s="227">
        <f t="shared" si="14"/>
        <v>8</v>
      </c>
      <c r="R109" s="226">
        <v>1</v>
      </c>
      <c r="S109" s="227">
        <f t="shared" si="15"/>
        <v>9</v>
      </c>
      <c r="T109" s="230" t="s">
        <v>48</v>
      </c>
      <c r="U109" s="183" t="str">
        <f t="shared" si="16"/>
        <v>9 Hrs</v>
      </c>
    </row>
    <row r="110" spans="3:21" s="172" customFormat="1" ht="20.25" customHeight="1">
      <c r="C110" s="185"/>
      <c r="D110" s="190">
        <f t="shared" si="13"/>
        <v>110</v>
      </c>
      <c r="E110" s="194" t="s">
        <v>104</v>
      </c>
      <c r="F110" s="198">
        <f t="shared" si="17"/>
        <v>109</v>
      </c>
      <c r="G110" s="193" t="s">
        <v>111</v>
      </c>
      <c r="H110" s="193"/>
      <c r="I110" s="211" t="str">
        <f>I98</f>
        <v>2"nb</v>
      </c>
      <c r="J110" s="195"/>
      <c r="K110" s="221">
        <v>2</v>
      </c>
      <c r="L110" s="195" t="s">
        <v>50</v>
      </c>
      <c r="M110" s="204">
        <v>2</v>
      </c>
      <c r="N110" s="195" t="s">
        <v>50</v>
      </c>
      <c r="O110" s="205">
        <v>0</v>
      </c>
      <c r="P110" s="195" t="s">
        <v>112</v>
      </c>
      <c r="Q110" s="227">
        <f t="shared" si="14"/>
        <v>0</v>
      </c>
      <c r="R110" s="226">
        <v>1</v>
      </c>
      <c r="S110" s="227">
        <f t="shared" si="15"/>
        <v>1</v>
      </c>
      <c r="T110" s="230" t="s">
        <v>48</v>
      </c>
      <c r="U110" s="183" t="str">
        <f t="shared" si="16"/>
        <v>1 Hrs</v>
      </c>
    </row>
    <row r="111" spans="3:21" s="172" customFormat="1" ht="20.25" customHeight="1">
      <c r="C111" s="185"/>
      <c r="D111" s="190">
        <f t="shared" si="13"/>
        <v>111</v>
      </c>
      <c r="E111" s="194" t="s">
        <v>109</v>
      </c>
      <c r="F111" s="198">
        <f t="shared" si="17"/>
        <v>110</v>
      </c>
      <c r="G111" s="193" t="s">
        <v>111</v>
      </c>
      <c r="H111" s="193"/>
      <c r="I111" s="195"/>
      <c r="J111" s="195"/>
      <c r="K111" s="221">
        <v>4</v>
      </c>
      <c r="L111" s="195" t="s">
        <v>50</v>
      </c>
      <c r="M111" s="204">
        <v>4</v>
      </c>
      <c r="N111" s="195" t="s">
        <v>50</v>
      </c>
      <c r="O111" s="205">
        <v>0.25</v>
      </c>
      <c r="P111" s="195" t="s">
        <v>112</v>
      </c>
      <c r="Q111" s="227">
        <f t="shared" si="14"/>
        <v>1</v>
      </c>
      <c r="R111" s="226">
        <v>1</v>
      </c>
      <c r="S111" s="227">
        <f t="shared" si="15"/>
        <v>2</v>
      </c>
      <c r="T111" s="230" t="s">
        <v>48</v>
      </c>
      <c r="U111" s="183" t="str">
        <f t="shared" si="16"/>
        <v>2 Hrs</v>
      </c>
    </row>
    <row r="112" spans="3:21" s="172" customFormat="1" ht="20.25" customHeight="1">
      <c r="C112" s="185">
        <f>D112</f>
        <v>112</v>
      </c>
      <c r="D112" s="190">
        <f t="shared" si="13"/>
        <v>112</v>
      </c>
      <c r="E112" s="196" t="s">
        <v>129</v>
      </c>
      <c r="F112" s="197">
        <f>D108</f>
        <v>108</v>
      </c>
      <c r="G112" s="193"/>
      <c r="H112" s="193"/>
      <c r="I112" s="195"/>
      <c r="J112" s="195"/>
      <c r="K112" s="221"/>
      <c r="L112" s="195"/>
      <c r="M112" s="204"/>
      <c r="N112" s="195"/>
      <c r="O112" s="205"/>
      <c r="P112" s="195"/>
      <c r="Q112" s="227"/>
      <c r="R112" s="226"/>
      <c r="S112" s="227"/>
      <c r="T112" s="203"/>
      <c r="U112" s="183"/>
    </row>
    <row r="113" spans="3:21" s="172" customFormat="1" ht="20.25" customHeight="1">
      <c r="C113" s="185"/>
      <c r="D113" s="190">
        <f t="shared" si="13"/>
        <v>113</v>
      </c>
      <c r="E113" s="194" t="s">
        <v>125</v>
      </c>
      <c r="F113" s="198"/>
      <c r="G113" s="193" t="s">
        <v>115</v>
      </c>
      <c r="H113" s="193"/>
      <c r="I113" s="211" t="s">
        <v>116</v>
      </c>
      <c r="J113" s="221" t="s">
        <v>117</v>
      </c>
      <c r="K113" s="221">
        <v>2</v>
      </c>
      <c r="L113" s="195" t="s">
        <v>50</v>
      </c>
      <c r="M113" s="214">
        <f>LEFT(J113,SEARCH(" ",J113,1)-1)*K113*0.001</f>
        <v>6.1080000000000005</v>
      </c>
      <c r="N113" s="195" t="s">
        <v>50</v>
      </c>
      <c r="O113" s="233">
        <f>6.12</f>
        <v>6.12</v>
      </c>
      <c r="P113" s="195" t="s">
        <v>112</v>
      </c>
      <c r="Q113" s="227">
        <f>M113*O113</f>
        <v>37.380960000000002</v>
      </c>
      <c r="R113" s="226">
        <v>1</v>
      </c>
      <c r="S113" s="227">
        <f t="shared" si="15"/>
        <v>38.380000000000003</v>
      </c>
      <c r="T113" s="230" t="s">
        <v>48</v>
      </c>
      <c r="U113" s="183" t="str">
        <f t="shared" si="16"/>
        <v>38.38 Hrs</v>
      </c>
    </row>
    <row r="114" spans="3:21" s="172" customFormat="1" ht="20.25" customHeight="1">
      <c r="C114" s="185"/>
      <c r="D114" s="190">
        <f t="shared" si="13"/>
        <v>114</v>
      </c>
      <c r="E114" s="194" t="s">
        <v>104</v>
      </c>
      <c r="F114" s="198">
        <f t="shared" si="17"/>
        <v>113</v>
      </c>
      <c r="G114" s="193" t="s">
        <v>115</v>
      </c>
      <c r="H114" s="193"/>
      <c r="I114" s="211" t="str">
        <f>I102</f>
        <v>2"nb</v>
      </c>
      <c r="J114" s="221" t="s">
        <v>118</v>
      </c>
      <c r="K114" s="221">
        <v>2</v>
      </c>
      <c r="L114" s="195" t="s">
        <v>50</v>
      </c>
      <c r="M114" s="204">
        <v>0</v>
      </c>
      <c r="N114" s="195" t="s">
        <v>50</v>
      </c>
      <c r="O114" s="233"/>
      <c r="P114" s="195" t="s">
        <v>112</v>
      </c>
      <c r="Q114" s="227">
        <f t="shared" ref="Q114:Q115" si="19">M114*O114</f>
        <v>0</v>
      </c>
      <c r="R114" s="226"/>
      <c r="S114" s="227"/>
      <c r="T114" s="230" t="s">
        <v>48</v>
      </c>
      <c r="U114" s="183"/>
    </row>
    <row r="115" spans="3:21" s="172" customFormat="1" ht="20.25" customHeight="1">
      <c r="C115" s="185"/>
      <c r="D115" s="190">
        <f t="shared" si="13"/>
        <v>115</v>
      </c>
      <c r="E115" s="194" t="s">
        <v>109</v>
      </c>
      <c r="F115" s="198">
        <f t="shared" si="17"/>
        <v>114</v>
      </c>
      <c r="G115" s="193" t="s">
        <v>115</v>
      </c>
      <c r="H115" s="193"/>
      <c r="I115" s="195"/>
      <c r="J115" s="195"/>
      <c r="K115" s="221">
        <v>4</v>
      </c>
      <c r="L115" s="195" t="s">
        <v>50</v>
      </c>
      <c r="M115" s="204">
        <v>4</v>
      </c>
      <c r="N115" s="195" t="s">
        <v>50</v>
      </c>
      <c r="O115" s="205">
        <v>0.25</v>
      </c>
      <c r="P115" s="195" t="s">
        <v>112</v>
      </c>
      <c r="Q115" s="227">
        <f t="shared" si="19"/>
        <v>1</v>
      </c>
      <c r="R115" s="226">
        <v>1</v>
      </c>
      <c r="S115" s="227">
        <f t="shared" si="15"/>
        <v>2</v>
      </c>
      <c r="T115" s="230" t="s">
        <v>48</v>
      </c>
      <c r="U115" s="183" t="str">
        <f t="shared" si="16"/>
        <v>2 Hrs</v>
      </c>
    </row>
    <row r="116" spans="3:21" s="172" customFormat="1" ht="20.25" customHeight="1">
      <c r="C116" s="185">
        <f>D116</f>
        <v>116</v>
      </c>
      <c r="D116" s="190">
        <f t="shared" si="13"/>
        <v>116</v>
      </c>
      <c r="E116" s="196" t="s">
        <v>130</v>
      </c>
      <c r="F116" s="197">
        <f>D112</f>
        <v>112</v>
      </c>
      <c r="G116" s="193"/>
      <c r="H116" s="193"/>
      <c r="I116" s="195"/>
      <c r="J116" s="195"/>
      <c r="K116" s="221"/>
      <c r="L116" s="195"/>
      <c r="M116" s="204"/>
      <c r="N116" s="195"/>
      <c r="O116" s="205"/>
      <c r="P116" s="195"/>
      <c r="Q116" s="227"/>
      <c r="R116" s="226"/>
      <c r="S116" s="227"/>
      <c r="T116" s="203"/>
      <c r="U116" s="183"/>
    </row>
    <row r="117" spans="3:21" s="172" customFormat="1" ht="20.25" customHeight="1">
      <c r="C117" s="185"/>
      <c r="D117" s="190">
        <f t="shared" si="13"/>
        <v>117</v>
      </c>
      <c r="E117" s="194" t="s">
        <v>125</v>
      </c>
      <c r="F117" s="198"/>
      <c r="G117" s="193" t="s">
        <v>44</v>
      </c>
      <c r="H117" s="193"/>
      <c r="I117" s="211" t="str">
        <f>I105</f>
        <v>26" nb</v>
      </c>
      <c r="J117" s="195"/>
      <c r="K117" s="221">
        <v>2</v>
      </c>
      <c r="L117" s="195" t="s">
        <v>50</v>
      </c>
      <c r="M117" s="204">
        <v>1</v>
      </c>
      <c r="N117" s="195" t="s">
        <v>50</v>
      </c>
      <c r="O117" s="233">
        <v>4</v>
      </c>
      <c r="P117" s="195" t="s">
        <v>112</v>
      </c>
      <c r="Q117" s="227">
        <f t="shared" si="14"/>
        <v>4</v>
      </c>
      <c r="R117" s="226">
        <v>1</v>
      </c>
      <c r="S117" s="227">
        <f t="shared" si="15"/>
        <v>5</v>
      </c>
      <c r="T117" s="230" t="s">
        <v>48</v>
      </c>
      <c r="U117" s="183" t="str">
        <f t="shared" si="16"/>
        <v>5 Hrs</v>
      </c>
    </row>
    <row r="118" spans="3:21" s="172" customFormat="1" ht="20.25" customHeight="1">
      <c r="C118" s="185"/>
      <c r="D118" s="190">
        <f t="shared" si="13"/>
        <v>118</v>
      </c>
      <c r="E118" s="194" t="s">
        <v>104</v>
      </c>
      <c r="F118" s="198">
        <f t="shared" si="17"/>
        <v>117</v>
      </c>
      <c r="G118" s="193" t="s">
        <v>44</v>
      </c>
      <c r="H118" s="193"/>
      <c r="I118" s="211" t="str">
        <f>I106</f>
        <v>2"nb</v>
      </c>
      <c r="J118" s="195"/>
      <c r="K118" s="221">
        <v>2</v>
      </c>
      <c r="L118" s="195" t="s">
        <v>50</v>
      </c>
      <c r="M118" s="204">
        <v>1</v>
      </c>
      <c r="N118" s="195" t="s">
        <v>50</v>
      </c>
      <c r="O118" s="233">
        <v>1</v>
      </c>
      <c r="P118" s="195" t="s">
        <v>112</v>
      </c>
      <c r="Q118" s="227">
        <f t="shared" si="14"/>
        <v>1</v>
      </c>
      <c r="R118" s="226">
        <v>1</v>
      </c>
      <c r="S118" s="227">
        <f t="shared" si="15"/>
        <v>2</v>
      </c>
      <c r="T118" s="230" t="s">
        <v>48</v>
      </c>
      <c r="U118" s="183" t="str">
        <f t="shared" si="16"/>
        <v>2 Hrs</v>
      </c>
    </row>
    <row r="119" spans="3:21" s="172" customFormat="1" ht="20.25" customHeight="1">
      <c r="C119" s="185"/>
      <c r="D119" s="190">
        <f t="shared" si="13"/>
        <v>119</v>
      </c>
      <c r="E119" s="194" t="s">
        <v>109</v>
      </c>
      <c r="F119" s="198">
        <f t="shared" si="17"/>
        <v>118</v>
      </c>
      <c r="G119" s="193" t="s">
        <v>44</v>
      </c>
      <c r="H119" s="193"/>
      <c r="I119" s="195"/>
      <c r="J119" s="195"/>
      <c r="K119" s="221">
        <v>4</v>
      </c>
      <c r="L119" s="195" t="s">
        <v>50</v>
      </c>
      <c r="M119" s="204">
        <v>1</v>
      </c>
      <c r="N119" s="195" t="s">
        <v>50</v>
      </c>
      <c r="O119" s="205">
        <v>1</v>
      </c>
      <c r="P119" s="195" t="s">
        <v>112</v>
      </c>
      <c r="Q119" s="227">
        <f t="shared" si="14"/>
        <v>1</v>
      </c>
      <c r="R119" s="226">
        <v>1</v>
      </c>
      <c r="S119" s="227">
        <f t="shared" si="15"/>
        <v>2</v>
      </c>
      <c r="T119" s="230" t="s">
        <v>48</v>
      </c>
      <c r="U119" s="183" t="str">
        <f t="shared" si="16"/>
        <v>2 Hrs</v>
      </c>
    </row>
    <row r="120" spans="3:21" s="172" customFormat="1" ht="20.25" customHeight="1">
      <c r="C120" s="185">
        <f>D120</f>
        <v>120</v>
      </c>
      <c r="D120" s="190">
        <f t="shared" si="13"/>
        <v>120</v>
      </c>
      <c r="E120" s="196" t="s">
        <v>131</v>
      </c>
      <c r="F120" s="197">
        <f>D116</f>
        <v>116</v>
      </c>
      <c r="G120" s="193"/>
      <c r="H120" s="193"/>
      <c r="I120" s="195"/>
      <c r="J120" s="195"/>
      <c r="K120" s="221"/>
      <c r="L120" s="195"/>
      <c r="M120" s="204"/>
      <c r="N120" s="195"/>
      <c r="O120" s="205"/>
      <c r="P120" s="195"/>
      <c r="Q120" s="227"/>
      <c r="R120" s="226"/>
      <c r="S120" s="227"/>
      <c r="T120" s="203"/>
      <c r="U120" s="183"/>
    </row>
    <row r="121" spans="3:21" s="172" customFormat="1" ht="20.25" customHeight="1">
      <c r="C121" s="185"/>
      <c r="D121" s="190">
        <f t="shared" si="13"/>
        <v>121</v>
      </c>
      <c r="E121" s="194" t="s">
        <v>125</v>
      </c>
      <c r="F121" s="198"/>
      <c r="G121" s="193" t="s">
        <v>44</v>
      </c>
      <c r="H121" s="193"/>
      <c r="I121" s="211" t="str">
        <f>I109</f>
        <v>26" nb</v>
      </c>
      <c r="J121" s="195"/>
      <c r="K121" s="221">
        <v>2</v>
      </c>
      <c r="L121" s="195" t="s">
        <v>50</v>
      </c>
      <c r="M121" s="204">
        <v>0</v>
      </c>
      <c r="N121" s="195" t="s">
        <v>50</v>
      </c>
      <c r="O121" s="233"/>
      <c r="P121" s="195" t="s">
        <v>112</v>
      </c>
      <c r="Q121" s="227">
        <f t="shared" ref="Q121:Q123" si="20">M121*O121</f>
        <v>0</v>
      </c>
      <c r="R121" s="226">
        <v>1</v>
      </c>
      <c r="S121" s="227">
        <f t="shared" si="15"/>
        <v>1</v>
      </c>
      <c r="T121" s="230" t="s">
        <v>48</v>
      </c>
      <c r="U121" s="183" t="str">
        <f t="shared" si="16"/>
        <v>1 Hrs</v>
      </c>
    </row>
    <row r="122" spans="3:21" s="172" customFormat="1" ht="20.25" customHeight="1">
      <c r="C122" s="185"/>
      <c r="D122" s="190">
        <f t="shared" si="13"/>
        <v>122</v>
      </c>
      <c r="E122" s="194" t="s">
        <v>104</v>
      </c>
      <c r="F122" s="198">
        <f t="shared" si="17"/>
        <v>121</v>
      </c>
      <c r="G122" s="193" t="s">
        <v>44</v>
      </c>
      <c r="H122" s="193"/>
      <c r="I122" s="211" t="str">
        <f>I110</f>
        <v>2"nb</v>
      </c>
      <c r="J122" s="195"/>
      <c r="K122" s="221">
        <v>2</v>
      </c>
      <c r="L122" s="195" t="s">
        <v>50</v>
      </c>
      <c r="M122" s="204">
        <v>0</v>
      </c>
      <c r="N122" s="195" t="s">
        <v>50</v>
      </c>
      <c r="O122" s="233"/>
      <c r="P122" s="195" t="s">
        <v>112</v>
      </c>
      <c r="Q122" s="227">
        <f t="shared" si="20"/>
        <v>0</v>
      </c>
      <c r="R122" s="226">
        <v>1</v>
      </c>
      <c r="S122" s="227">
        <f t="shared" si="15"/>
        <v>1</v>
      </c>
      <c r="T122" s="230" t="s">
        <v>48</v>
      </c>
      <c r="U122" s="183" t="str">
        <f t="shared" si="16"/>
        <v>1 Hrs</v>
      </c>
    </row>
    <row r="123" spans="3:21" s="172" customFormat="1" ht="20.25" customHeight="1">
      <c r="C123" s="185"/>
      <c r="D123" s="190">
        <f t="shared" si="13"/>
        <v>123</v>
      </c>
      <c r="E123" s="194" t="s">
        <v>109</v>
      </c>
      <c r="F123" s="198">
        <f t="shared" si="17"/>
        <v>122</v>
      </c>
      <c r="G123" s="193" t="s">
        <v>44</v>
      </c>
      <c r="H123" s="193"/>
      <c r="I123" s="195"/>
      <c r="J123" s="195"/>
      <c r="K123" s="221">
        <v>4</v>
      </c>
      <c r="L123" s="195" t="s">
        <v>50</v>
      </c>
      <c r="M123" s="204">
        <v>0</v>
      </c>
      <c r="N123" s="195" t="s">
        <v>50</v>
      </c>
      <c r="O123" s="205"/>
      <c r="P123" s="195" t="s">
        <v>112</v>
      </c>
      <c r="Q123" s="227">
        <f t="shared" si="20"/>
        <v>0</v>
      </c>
      <c r="R123" s="226">
        <v>1</v>
      </c>
      <c r="S123" s="227">
        <f t="shared" si="15"/>
        <v>1</v>
      </c>
      <c r="T123" s="230" t="s">
        <v>48</v>
      </c>
      <c r="U123" s="183" t="str">
        <f t="shared" si="16"/>
        <v>1 Hrs</v>
      </c>
    </row>
    <row r="124" spans="3:21" s="172" customFormat="1" ht="20.25" customHeight="1">
      <c r="C124" s="185">
        <f>D124</f>
        <v>124</v>
      </c>
      <c r="D124" s="190">
        <f t="shared" si="13"/>
        <v>124</v>
      </c>
      <c r="E124" s="196" t="s">
        <v>132</v>
      </c>
      <c r="F124" s="197">
        <f>D120</f>
        <v>120</v>
      </c>
      <c r="G124" s="193"/>
      <c r="H124" s="193"/>
      <c r="I124" s="195"/>
      <c r="J124" s="195"/>
      <c r="K124" s="221"/>
      <c r="L124" s="195"/>
      <c r="M124" s="204"/>
      <c r="N124" s="195"/>
      <c r="O124" s="205"/>
      <c r="P124" s="195"/>
      <c r="Q124" s="227"/>
      <c r="R124" s="226"/>
      <c r="S124" s="227"/>
      <c r="T124" s="203"/>
      <c r="U124" s="183"/>
    </row>
    <row r="125" spans="3:21" s="172" customFormat="1" ht="20.25" customHeight="1">
      <c r="C125" s="185"/>
      <c r="D125" s="190">
        <f t="shared" si="13"/>
        <v>125</v>
      </c>
      <c r="E125" s="194" t="s">
        <v>125</v>
      </c>
      <c r="F125" s="198"/>
      <c r="G125" s="193" t="s">
        <v>121</v>
      </c>
      <c r="H125" s="193"/>
      <c r="I125" s="211" t="s">
        <v>123</v>
      </c>
      <c r="J125" s="195" t="str">
        <f>J113</f>
        <v>3054 mm</v>
      </c>
      <c r="K125" s="221">
        <v>2</v>
      </c>
      <c r="L125" s="195" t="s">
        <v>50</v>
      </c>
      <c r="M125" s="214">
        <f>LEFT(J125,SEARCH(" ",J125,1)-1)*K125*0.001</f>
        <v>6.1080000000000005</v>
      </c>
      <c r="N125" s="195" t="s">
        <v>50</v>
      </c>
      <c r="O125" s="233">
        <v>1</v>
      </c>
      <c r="P125" s="195" t="s">
        <v>112</v>
      </c>
      <c r="Q125" s="227">
        <f t="shared" ref="Q125:Q127" si="21">M125*O125</f>
        <v>6.1080000000000005</v>
      </c>
      <c r="R125" s="226">
        <v>1</v>
      </c>
      <c r="S125" s="227">
        <f t="shared" si="15"/>
        <v>7.11</v>
      </c>
      <c r="T125" s="230" t="s">
        <v>48</v>
      </c>
      <c r="U125" s="183" t="str">
        <f t="shared" si="16"/>
        <v>7.11 Hrs</v>
      </c>
    </row>
    <row r="126" spans="3:21" s="172" customFormat="1" ht="20.25" customHeight="1">
      <c r="C126" s="185"/>
      <c r="D126" s="190">
        <f t="shared" si="13"/>
        <v>126</v>
      </c>
      <c r="E126" s="194" t="s">
        <v>104</v>
      </c>
      <c r="F126" s="198">
        <f t="shared" si="17"/>
        <v>125</v>
      </c>
      <c r="G126" s="193" t="s">
        <v>121</v>
      </c>
      <c r="H126" s="193"/>
      <c r="I126" s="211">
        <v>18</v>
      </c>
      <c r="J126" s="198" t="str">
        <f>J114</f>
        <v>272 MM</v>
      </c>
      <c r="K126" s="221">
        <v>2</v>
      </c>
      <c r="L126" s="195" t="s">
        <v>50</v>
      </c>
      <c r="M126" s="214">
        <f>LEFT(J126,SEARCH(" ",J126,1)-1)*K126*0.001</f>
        <v>0.54400000000000004</v>
      </c>
      <c r="N126" s="195" t="s">
        <v>50</v>
      </c>
      <c r="O126" s="233">
        <v>0.5</v>
      </c>
      <c r="P126" s="195" t="s">
        <v>112</v>
      </c>
      <c r="Q126" s="227">
        <f t="shared" si="21"/>
        <v>0.27200000000000002</v>
      </c>
      <c r="R126" s="226">
        <v>1</v>
      </c>
      <c r="S126" s="227">
        <f t="shared" si="15"/>
        <v>1.27</v>
      </c>
      <c r="T126" s="230" t="s">
        <v>48</v>
      </c>
      <c r="U126" s="183" t="str">
        <f t="shared" si="16"/>
        <v>1.27 Hrs</v>
      </c>
    </row>
    <row r="127" spans="3:21" s="172" customFormat="1" ht="20.25" customHeight="1">
      <c r="C127" s="185"/>
      <c r="D127" s="190">
        <f t="shared" si="13"/>
        <v>127</v>
      </c>
      <c r="E127" s="194" t="s">
        <v>109</v>
      </c>
      <c r="F127" s="198">
        <f t="shared" si="17"/>
        <v>126</v>
      </c>
      <c r="G127" s="193" t="s">
        <v>121</v>
      </c>
      <c r="H127" s="193"/>
      <c r="I127" s="195"/>
      <c r="J127" s="195"/>
      <c r="K127" s="221">
        <v>4</v>
      </c>
      <c r="L127" s="195" t="s">
        <v>50</v>
      </c>
      <c r="M127" s="204">
        <v>1</v>
      </c>
      <c r="N127" s="195" t="s">
        <v>50</v>
      </c>
      <c r="O127" s="205">
        <v>1</v>
      </c>
      <c r="P127" s="195" t="s">
        <v>112</v>
      </c>
      <c r="Q127" s="227">
        <f t="shared" si="21"/>
        <v>1</v>
      </c>
      <c r="R127" s="226">
        <v>1</v>
      </c>
      <c r="S127" s="227">
        <f t="shared" si="15"/>
        <v>2</v>
      </c>
      <c r="T127" s="230" t="s">
        <v>48</v>
      </c>
      <c r="U127" s="183" t="str">
        <f t="shared" si="16"/>
        <v>2 Hrs</v>
      </c>
    </row>
    <row r="128" spans="3:21" s="172" customFormat="1" ht="20.25" customHeight="1">
      <c r="C128" s="185">
        <f t="shared" ref="C128:C129" si="22">D128</f>
        <v>128</v>
      </c>
      <c r="D128" s="190">
        <f t="shared" si="13"/>
        <v>128</v>
      </c>
      <c r="E128" s="199" t="s">
        <v>133</v>
      </c>
      <c r="F128" s="197"/>
      <c r="G128" s="193"/>
      <c r="H128" s="193"/>
      <c r="I128" s="195"/>
      <c r="J128" s="195"/>
      <c r="K128" s="221"/>
      <c r="L128" s="195"/>
      <c r="M128" s="204"/>
      <c r="N128" s="195"/>
      <c r="O128" s="205"/>
      <c r="P128" s="195"/>
      <c r="Q128" s="227"/>
      <c r="R128" s="226"/>
      <c r="S128" s="227"/>
      <c r="T128" s="203"/>
      <c r="U128" s="183"/>
    </row>
    <row r="129" spans="3:21" s="172" customFormat="1" ht="20.25" customHeight="1">
      <c r="C129" s="185">
        <f t="shared" si="22"/>
        <v>129</v>
      </c>
      <c r="D129" s="190">
        <f t="shared" si="13"/>
        <v>129</v>
      </c>
      <c r="E129" s="191" t="s">
        <v>134</v>
      </c>
      <c r="F129" s="197">
        <f>D128</f>
        <v>128</v>
      </c>
      <c r="G129" s="193"/>
      <c r="H129" s="193"/>
      <c r="I129" s="195"/>
      <c r="J129" s="195"/>
      <c r="K129" s="221"/>
      <c r="L129" s="195"/>
      <c r="M129" s="204"/>
      <c r="N129" s="195"/>
      <c r="O129" s="205"/>
      <c r="P129" s="195"/>
      <c r="Q129" s="227"/>
      <c r="R129" s="226"/>
      <c r="S129" s="227"/>
      <c r="T129" s="203"/>
      <c r="U129" s="183"/>
    </row>
    <row r="130" spans="3:21" s="172" customFormat="1" ht="20.25" customHeight="1">
      <c r="C130" s="185"/>
      <c r="D130" s="190">
        <f t="shared" si="13"/>
        <v>130</v>
      </c>
      <c r="E130" s="194" t="s">
        <v>135</v>
      </c>
      <c r="F130" s="198"/>
      <c r="G130" s="193"/>
      <c r="H130" s="193"/>
      <c r="I130" s="195"/>
      <c r="J130" s="195"/>
      <c r="K130" s="221">
        <v>1</v>
      </c>
      <c r="L130" s="195" t="s">
        <v>84</v>
      </c>
      <c r="M130" s="204">
        <v>1</v>
      </c>
      <c r="N130" s="195" t="s">
        <v>84</v>
      </c>
      <c r="O130" s="205">
        <v>4</v>
      </c>
      <c r="P130" s="195" t="s">
        <v>41</v>
      </c>
      <c r="Q130" s="227">
        <f t="shared" ref="Q130" si="23">M130*O130</f>
        <v>4</v>
      </c>
      <c r="R130" s="226">
        <v>0</v>
      </c>
      <c r="S130" s="227">
        <f t="shared" si="15"/>
        <v>4</v>
      </c>
      <c r="T130" s="203" t="s">
        <v>42</v>
      </c>
      <c r="U130" s="183" t="str">
        <f t="shared" si="16"/>
        <v>4 Days</v>
      </c>
    </row>
    <row r="131" spans="3:21" s="172" customFormat="1" ht="20.25" customHeight="1">
      <c r="C131" s="185"/>
      <c r="D131" s="190">
        <f t="shared" ref="D131:D194" si="24">D130+1</f>
        <v>131</v>
      </c>
      <c r="E131" s="194" t="s">
        <v>136</v>
      </c>
      <c r="F131" s="198">
        <f t="shared" si="17"/>
        <v>130</v>
      </c>
      <c r="G131" s="193" t="s">
        <v>44</v>
      </c>
      <c r="H131" s="193"/>
      <c r="I131" s="211" t="s">
        <v>137</v>
      </c>
      <c r="J131" s="221" t="s">
        <v>138</v>
      </c>
      <c r="K131" s="221">
        <v>1</v>
      </c>
      <c r="L131" s="195" t="s">
        <v>84</v>
      </c>
      <c r="M131" s="214">
        <f>LEFT(J131,SEARCH(" ",J131,1)-1)*K131</f>
        <v>9</v>
      </c>
      <c r="N131" s="195" t="s">
        <v>139</v>
      </c>
      <c r="O131" s="233">
        <v>0.25</v>
      </c>
      <c r="P131" s="195" t="s">
        <v>112</v>
      </c>
      <c r="Q131" s="227">
        <f t="shared" si="14"/>
        <v>2.25</v>
      </c>
      <c r="R131" s="226">
        <v>1</v>
      </c>
      <c r="S131" s="227">
        <f t="shared" si="15"/>
        <v>3.25</v>
      </c>
      <c r="T131" s="230" t="s">
        <v>48</v>
      </c>
      <c r="U131" s="183" t="str">
        <f t="shared" si="16"/>
        <v>3.25 Hrs</v>
      </c>
    </row>
    <row r="132" spans="3:21" s="172" customFormat="1" ht="20.25" customHeight="1">
      <c r="C132" s="185"/>
      <c r="D132" s="190">
        <f t="shared" si="24"/>
        <v>132</v>
      </c>
      <c r="E132" s="194" t="s">
        <v>140</v>
      </c>
      <c r="F132" s="198">
        <f t="shared" si="17"/>
        <v>131</v>
      </c>
      <c r="G132" s="193" t="s">
        <v>44</v>
      </c>
      <c r="H132" s="193"/>
      <c r="I132" s="211" t="str">
        <f>I131</f>
        <v>30/25</v>
      </c>
      <c r="J132" s="221" t="s">
        <v>141</v>
      </c>
      <c r="K132" s="212">
        <v>1</v>
      </c>
      <c r="L132" s="195" t="s">
        <v>84</v>
      </c>
      <c r="M132" s="214">
        <f t="shared" ref="M132:M133" si="25">LEFT(J132,SEARCH(" ",J132,1)-1)*K132</f>
        <v>29</v>
      </c>
      <c r="N132" s="195" t="s">
        <v>139</v>
      </c>
      <c r="O132" s="233">
        <v>0.25</v>
      </c>
      <c r="P132" s="195" t="s">
        <v>112</v>
      </c>
      <c r="Q132" s="227">
        <f t="shared" si="14"/>
        <v>7.25</v>
      </c>
      <c r="R132" s="226">
        <v>1</v>
      </c>
      <c r="S132" s="227">
        <f t="shared" si="15"/>
        <v>8.25</v>
      </c>
      <c r="T132" s="230" t="s">
        <v>48</v>
      </c>
      <c r="U132" s="183" t="str">
        <f t="shared" si="16"/>
        <v>8.25 Hrs</v>
      </c>
    </row>
    <row r="133" spans="3:21" s="172" customFormat="1" ht="20.25" customHeight="1">
      <c r="C133" s="185"/>
      <c r="D133" s="190">
        <f t="shared" si="24"/>
        <v>133</v>
      </c>
      <c r="E133" s="194" t="s">
        <v>142</v>
      </c>
      <c r="F133" s="198">
        <f t="shared" si="17"/>
        <v>132</v>
      </c>
      <c r="G133" s="193" t="s">
        <v>44</v>
      </c>
      <c r="H133" s="193"/>
      <c r="I133" s="211">
        <v>25</v>
      </c>
      <c r="J133" s="221" t="s">
        <v>143</v>
      </c>
      <c r="K133" s="221">
        <v>1</v>
      </c>
      <c r="L133" s="195" t="s">
        <v>84</v>
      </c>
      <c r="M133" s="214">
        <f t="shared" si="25"/>
        <v>10.5</v>
      </c>
      <c r="N133" s="195" t="s">
        <v>139</v>
      </c>
      <c r="O133" s="233">
        <v>0.25</v>
      </c>
      <c r="P133" s="195" t="s">
        <v>112</v>
      </c>
      <c r="Q133" s="227">
        <f t="shared" si="14"/>
        <v>2.625</v>
      </c>
      <c r="R133" s="226">
        <v>1</v>
      </c>
      <c r="S133" s="227">
        <f t="shared" si="15"/>
        <v>3.63</v>
      </c>
      <c r="T133" s="230" t="s">
        <v>48</v>
      </c>
      <c r="U133" s="183" t="str">
        <f t="shared" si="16"/>
        <v>3.63 Hrs</v>
      </c>
    </row>
    <row r="134" spans="3:21" s="172" customFormat="1" ht="20.25" customHeight="1">
      <c r="C134" s="185">
        <f>D134</f>
        <v>134</v>
      </c>
      <c r="D134" s="190">
        <f t="shared" si="24"/>
        <v>134</v>
      </c>
      <c r="E134" s="191" t="s">
        <v>144</v>
      </c>
      <c r="F134" s="197">
        <f>D129</f>
        <v>129</v>
      </c>
      <c r="G134" s="193"/>
      <c r="H134" s="193"/>
      <c r="I134" s="195"/>
      <c r="J134" s="195"/>
      <c r="K134" s="221"/>
      <c r="L134" s="195"/>
      <c r="M134" s="204"/>
      <c r="N134" s="195"/>
      <c r="O134" s="205"/>
      <c r="P134" s="195"/>
      <c r="Q134" s="227"/>
      <c r="R134" s="226"/>
      <c r="S134" s="227"/>
      <c r="T134" s="203"/>
      <c r="U134" s="183"/>
    </row>
    <row r="135" spans="3:21" s="172" customFormat="1" ht="20.25" customHeight="1">
      <c r="C135" s="185"/>
      <c r="D135" s="190">
        <f t="shared" si="24"/>
        <v>135</v>
      </c>
      <c r="E135" s="194" t="s">
        <v>145</v>
      </c>
      <c r="F135" s="198"/>
      <c r="G135" s="193" t="s">
        <v>52</v>
      </c>
      <c r="H135" s="193"/>
      <c r="I135" s="220" t="str">
        <f t="shared" ref="I135:K137" si="26">I131</f>
        <v>30/25</v>
      </c>
      <c r="J135" s="198" t="str">
        <f>J131</f>
        <v>9 rmt</v>
      </c>
      <c r="K135" s="212">
        <f t="shared" si="26"/>
        <v>1</v>
      </c>
      <c r="L135" s="195" t="s">
        <v>81</v>
      </c>
      <c r="M135" s="214">
        <f t="shared" ref="M135:M137" si="27">LEFT(J135,SEARCH(" ",J135,1)-1)*K135</f>
        <v>9</v>
      </c>
      <c r="N135" s="195" t="s">
        <v>139</v>
      </c>
      <c r="O135" s="233">
        <v>0.5</v>
      </c>
      <c r="P135" s="195" t="s">
        <v>112</v>
      </c>
      <c r="Q135" s="227">
        <f t="shared" si="14"/>
        <v>4.5</v>
      </c>
      <c r="R135" s="226">
        <v>1</v>
      </c>
      <c r="S135" s="227">
        <f t="shared" si="15"/>
        <v>5.5</v>
      </c>
      <c r="T135" s="203" t="s">
        <v>48</v>
      </c>
      <c r="U135" s="183" t="str">
        <f t="shared" si="16"/>
        <v>5.5 Hrs</v>
      </c>
    </row>
    <row r="136" spans="3:21" s="172" customFormat="1" ht="20.25" customHeight="1">
      <c r="C136" s="185"/>
      <c r="D136" s="190">
        <f t="shared" si="24"/>
        <v>136</v>
      </c>
      <c r="E136" s="194" t="s">
        <v>146</v>
      </c>
      <c r="F136" s="198">
        <f t="shared" si="17"/>
        <v>135</v>
      </c>
      <c r="G136" s="193" t="s">
        <v>52</v>
      </c>
      <c r="H136" s="193"/>
      <c r="I136" s="220" t="str">
        <f t="shared" si="26"/>
        <v>30/25</v>
      </c>
      <c r="J136" s="198" t="str">
        <f>J132</f>
        <v>29 rmt</v>
      </c>
      <c r="K136" s="212">
        <f t="shared" si="26"/>
        <v>1</v>
      </c>
      <c r="L136" s="195" t="s">
        <v>81</v>
      </c>
      <c r="M136" s="214">
        <f t="shared" si="27"/>
        <v>29</v>
      </c>
      <c r="N136" s="195" t="s">
        <v>139</v>
      </c>
      <c r="O136" s="233">
        <v>0.5</v>
      </c>
      <c r="P136" s="195" t="s">
        <v>112</v>
      </c>
      <c r="Q136" s="227">
        <f t="shared" si="14"/>
        <v>14.5</v>
      </c>
      <c r="R136" s="226">
        <v>1</v>
      </c>
      <c r="S136" s="227">
        <f t="shared" si="15"/>
        <v>15.5</v>
      </c>
      <c r="T136" s="203" t="s">
        <v>48</v>
      </c>
      <c r="U136" s="183" t="str">
        <f t="shared" si="16"/>
        <v>15.5 Hrs</v>
      </c>
    </row>
    <row r="137" spans="3:21" s="172" customFormat="1" ht="20.25" customHeight="1">
      <c r="C137" s="185"/>
      <c r="D137" s="190">
        <f t="shared" si="24"/>
        <v>137</v>
      </c>
      <c r="E137" s="194" t="s">
        <v>147</v>
      </c>
      <c r="F137" s="198">
        <f t="shared" si="17"/>
        <v>136</v>
      </c>
      <c r="G137" s="193" t="s">
        <v>52</v>
      </c>
      <c r="H137" s="193"/>
      <c r="I137" s="220">
        <f t="shared" si="26"/>
        <v>25</v>
      </c>
      <c r="J137" s="198" t="str">
        <f>J133</f>
        <v>10.5 Rmt</v>
      </c>
      <c r="K137" s="212">
        <f t="shared" si="26"/>
        <v>1</v>
      </c>
      <c r="L137" s="195" t="s">
        <v>81</v>
      </c>
      <c r="M137" s="214">
        <f t="shared" si="27"/>
        <v>10.5</v>
      </c>
      <c r="N137" s="195" t="s">
        <v>139</v>
      </c>
      <c r="O137" s="233">
        <f>VLOOKUP(I137,BM!$B$3:$Y$62,3,FALSE)</f>
        <v>0.25</v>
      </c>
      <c r="P137" s="195" t="s">
        <v>112</v>
      </c>
      <c r="Q137" s="227">
        <f t="shared" si="14"/>
        <v>2.625</v>
      </c>
      <c r="R137" s="226">
        <v>1</v>
      </c>
      <c r="S137" s="227">
        <f t="shared" si="15"/>
        <v>3.63</v>
      </c>
      <c r="T137" s="203" t="s">
        <v>48</v>
      </c>
      <c r="U137" s="183" t="str">
        <f t="shared" si="16"/>
        <v>3.63 Hrs</v>
      </c>
    </row>
    <row r="138" spans="3:21" s="172" customFormat="1" ht="20.25" customHeight="1">
      <c r="C138" s="185"/>
      <c r="D138" s="190">
        <f t="shared" si="24"/>
        <v>138</v>
      </c>
      <c r="E138" s="194" t="s">
        <v>148</v>
      </c>
      <c r="F138" s="198">
        <f t="shared" si="17"/>
        <v>137</v>
      </c>
      <c r="G138" s="193" t="s">
        <v>149</v>
      </c>
      <c r="H138" s="193"/>
      <c r="I138" s="211">
        <v>25</v>
      </c>
      <c r="J138" s="195"/>
      <c r="K138" s="221"/>
      <c r="L138" s="195"/>
      <c r="M138" s="222">
        <f>M135+M136+M137</f>
        <v>48.5</v>
      </c>
      <c r="N138" s="195" t="s">
        <v>139</v>
      </c>
      <c r="O138" s="233">
        <f>VLOOKUP(I138,BM!$B$3:$Y$62,4,FALSE)</f>
        <v>0.15</v>
      </c>
      <c r="P138" s="195" t="s">
        <v>112</v>
      </c>
      <c r="Q138" s="227">
        <f t="shared" si="14"/>
        <v>7.2749999999999995</v>
      </c>
      <c r="R138" s="226">
        <v>1</v>
      </c>
      <c r="S138" s="227">
        <f t="shared" si="15"/>
        <v>8.2799999999999994</v>
      </c>
      <c r="T138" s="203" t="s">
        <v>48</v>
      </c>
      <c r="U138" s="183" t="str">
        <f t="shared" si="16"/>
        <v>8.28 Hrs</v>
      </c>
    </row>
    <row r="139" spans="3:21" s="172" customFormat="1" ht="20.25" customHeight="1">
      <c r="C139" s="185">
        <f>D139</f>
        <v>139</v>
      </c>
      <c r="D139" s="190">
        <f t="shared" si="24"/>
        <v>139</v>
      </c>
      <c r="E139" s="191" t="s">
        <v>150</v>
      </c>
      <c r="F139" s="197">
        <f>D134</f>
        <v>134</v>
      </c>
      <c r="G139" s="193"/>
      <c r="H139" s="193"/>
      <c r="I139" s="195"/>
      <c r="J139" s="195"/>
      <c r="K139" s="221"/>
      <c r="L139" s="195"/>
      <c r="M139" s="204"/>
      <c r="N139" s="195"/>
      <c r="O139" s="205"/>
      <c r="P139" s="195"/>
      <c r="Q139" s="227"/>
      <c r="R139" s="226"/>
      <c r="S139" s="227"/>
      <c r="T139" s="203"/>
      <c r="U139" s="183"/>
    </row>
    <row r="140" spans="3:21" s="172" customFormat="1" ht="20.25" customHeight="1">
      <c r="C140" s="185"/>
      <c r="D140" s="190">
        <f t="shared" si="24"/>
        <v>140</v>
      </c>
      <c r="E140" s="194" t="s">
        <v>151</v>
      </c>
      <c r="F140" s="198"/>
      <c r="G140" s="193" t="s">
        <v>152</v>
      </c>
      <c r="H140" s="193"/>
      <c r="I140" s="195"/>
      <c r="J140" s="195"/>
      <c r="K140" s="221">
        <v>1</v>
      </c>
      <c r="L140" s="195" t="s">
        <v>84</v>
      </c>
      <c r="M140" s="204">
        <v>1</v>
      </c>
      <c r="N140" s="195" t="s">
        <v>39</v>
      </c>
      <c r="O140" s="205">
        <v>8</v>
      </c>
      <c r="P140" s="195" t="s">
        <v>112</v>
      </c>
      <c r="Q140" s="227">
        <f t="shared" si="14"/>
        <v>8</v>
      </c>
      <c r="R140" s="226">
        <v>1</v>
      </c>
      <c r="S140" s="227">
        <f t="shared" si="15"/>
        <v>9</v>
      </c>
      <c r="T140" s="203" t="s">
        <v>48</v>
      </c>
      <c r="U140" s="183" t="str">
        <f t="shared" si="16"/>
        <v>9 Hrs</v>
      </c>
    </row>
    <row r="141" spans="3:21" s="172" customFormat="1" ht="20.25" customHeight="1">
      <c r="C141" s="185"/>
      <c r="D141" s="190">
        <f t="shared" si="24"/>
        <v>141</v>
      </c>
      <c r="E141" s="194" t="s">
        <v>153</v>
      </c>
      <c r="F141" s="198">
        <f t="shared" si="17"/>
        <v>140</v>
      </c>
      <c r="G141" s="193" t="s">
        <v>115</v>
      </c>
      <c r="H141" s="193"/>
      <c r="I141" s="211">
        <v>18</v>
      </c>
      <c r="J141" s="221"/>
      <c r="K141" s="221">
        <v>1</v>
      </c>
      <c r="L141" s="195" t="s">
        <v>84</v>
      </c>
      <c r="M141" s="222">
        <v>4</v>
      </c>
      <c r="N141" s="195" t="s">
        <v>39</v>
      </c>
      <c r="O141" s="216">
        <f>VLOOKUP(I141,BM!$B$3:$Y$62,22,FALSE)</f>
        <v>3.4</v>
      </c>
      <c r="P141" s="195" t="s">
        <v>112</v>
      </c>
      <c r="Q141" s="227">
        <f t="shared" si="14"/>
        <v>13.6</v>
      </c>
      <c r="R141" s="226">
        <v>1</v>
      </c>
      <c r="S141" s="227">
        <f t="shared" si="15"/>
        <v>14.6</v>
      </c>
      <c r="T141" s="203" t="s">
        <v>48</v>
      </c>
      <c r="U141" s="183" t="str">
        <f t="shared" si="16"/>
        <v>14.6 Hrs</v>
      </c>
    </row>
    <row r="142" spans="3:21" s="172" customFormat="1" ht="20.25" customHeight="1">
      <c r="C142" s="185"/>
      <c r="D142" s="190">
        <f t="shared" si="24"/>
        <v>142</v>
      </c>
      <c r="E142" s="194" t="s">
        <v>154</v>
      </c>
      <c r="F142" s="198">
        <f t="shared" si="17"/>
        <v>141</v>
      </c>
      <c r="G142" s="193" t="s">
        <v>152</v>
      </c>
      <c r="H142" s="193"/>
      <c r="I142" s="195"/>
      <c r="J142" s="195"/>
      <c r="K142" s="221">
        <v>1</v>
      </c>
      <c r="L142" s="195" t="s">
        <v>84</v>
      </c>
      <c r="M142" s="204">
        <v>1</v>
      </c>
      <c r="N142" s="195" t="s">
        <v>39</v>
      </c>
      <c r="O142" s="205">
        <v>8</v>
      </c>
      <c r="P142" s="195" t="s">
        <v>112</v>
      </c>
      <c r="Q142" s="227">
        <f t="shared" si="14"/>
        <v>8</v>
      </c>
      <c r="R142" s="226">
        <v>1</v>
      </c>
      <c r="S142" s="227">
        <f t="shared" si="15"/>
        <v>9</v>
      </c>
      <c r="T142" s="203" t="s">
        <v>48</v>
      </c>
      <c r="U142" s="183" t="str">
        <f t="shared" si="16"/>
        <v>9 Hrs</v>
      </c>
    </row>
    <row r="143" spans="3:21" s="172" customFormat="1" ht="20.25" customHeight="1">
      <c r="C143" s="185"/>
      <c r="D143" s="190">
        <f t="shared" si="24"/>
        <v>143</v>
      </c>
      <c r="E143" s="194" t="s">
        <v>155</v>
      </c>
      <c r="F143" s="198">
        <f t="shared" si="17"/>
        <v>142</v>
      </c>
      <c r="G143" s="193" t="s">
        <v>156</v>
      </c>
      <c r="H143" s="193"/>
      <c r="I143" s="211">
        <v>18</v>
      </c>
      <c r="J143" s="221"/>
      <c r="K143" s="221">
        <v>1</v>
      </c>
      <c r="L143" s="195" t="s">
        <v>84</v>
      </c>
      <c r="M143" s="222">
        <v>24.8</v>
      </c>
      <c r="N143" s="195" t="s">
        <v>39</v>
      </c>
      <c r="O143" s="216">
        <f>VLOOKUP(I143,BM!$B$3:$Y$62,22,FALSE)</f>
        <v>3.4</v>
      </c>
      <c r="P143" s="195" t="s">
        <v>112</v>
      </c>
      <c r="Q143" s="227">
        <f t="shared" si="14"/>
        <v>84.32</v>
      </c>
      <c r="R143" s="226">
        <v>1</v>
      </c>
      <c r="S143" s="227">
        <f t="shared" si="15"/>
        <v>85.32</v>
      </c>
      <c r="T143" s="203" t="s">
        <v>48</v>
      </c>
      <c r="U143" s="183" t="str">
        <f t="shared" si="16"/>
        <v>85.32 Hrs</v>
      </c>
    </row>
    <row r="144" spans="3:21" s="172" customFormat="1" ht="20.25" customHeight="1">
      <c r="C144" s="185">
        <f>D144</f>
        <v>144</v>
      </c>
      <c r="D144" s="190">
        <f t="shared" si="24"/>
        <v>144</v>
      </c>
      <c r="E144" s="191" t="s">
        <v>157</v>
      </c>
      <c r="F144" s="197">
        <f>D139</f>
        <v>139</v>
      </c>
      <c r="G144" s="193"/>
      <c r="H144" s="193"/>
      <c r="I144" s="195"/>
      <c r="J144" s="195"/>
      <c r="K144" s="221"/>
      <c r="L144" s="195"/>
      <c r="M144" s="204"/>
      <c r="N144" s="195"/>
      <c r="O144" s="205"/>
      <c r="P144" s="195"/>
      <c r="Q144" s="227"/>
      <c r="R144" s="226"/>
      <c r="S144" s="227"/>
      <c r="T144" s="203"/>
      <c r="U144" s="183"/>
    </row>
    <row r="145" spans="3:21" s="172" customFormat="1" ht="20.25" customHeight="1">
      <c r="C145" s="185"/>
      <c r="D145" s="190">
        <f t="shared" si="24"/>
        <v>145</v>
      </c>
      <c r="E145" s="194" t="s">
        <v>158</v>
      </c>
      <c r="F145" s="198"/>
      <c r="G145" s="193" t="s">
        <v>159</v>
      </c>
      <c r="H145" s="193"/>
      <c r="I145" s="195"/>
      <c r="J145" s="195"/>
      <c r="K145" s="221">
        <v>1</v>
      </c>
      <c r="L145" s="195" t="s">
        <v>160</v>
      </c>
      <c r="M145" s="204">
        <v>1</v>
      </c>
      <c r="N145" s="195" t="s">
        <v>160</v>
      </c>
      <c r="O145" s="205">
        <v>4</v>
      </c>
      <c r="P145" s="195" t="s">
        <v>41</v>
      </c>
      <c r="Q145" s="227">
        <f t="shared" si="14"/>
        <v>4</v>
      </c>
      <c r="R145" s="226"/>
      <c r="S145" s="227">
        <f t="shared" si="15"/>
        <v>4</v>
      </c>
      <c r="T145" s="203" t="s">
        <v>42</v>
      </c>
      <c r="U145" s="183" t="str">
        <f t="shared" si="16"/>
        <v>4 Days</v>
      </c>
    </row>
    <row r="146" spans="3:21" s="172" customFormat="1" ht="20.25" customHeight="1">
      <c r="C146" s="185"/>
      <c r="D146" s="190">
        <f t="shared" si="24"/>
        <v>146</v>
      </c>
      <c r="E146" s="194" t="s">
        <v>161</v>
      </c>
      <c r="F146" s="198">
        <f t="shared" si="17"/>
        <v>145</v>
      </c>
      <c r="G146" s="193" t="s">
        <v>44</v>
      </c>
      <c r="H146" s="193"/>
      <c r="I146" s="195"/>
      <c r="J146" s="195"/>
      <c r="K146" s="221">
        <v>6</v>
      </c>
      <c r="L146" s="195" t="s">
        <v>81</v>
      </c>
      <c r="M146" s="204">
        <v>6</v>
      </c>
      <c r="N146" s="195" t="s">
        <v>81</v>
      </c>
      <c r="O146" s="205">
        <v>0.5</v>
      </c>
      <c r="P146" s="195" t="s">
        <v>162</v>
      </c>
      <c r="Q146" s="227">
        <f t="shared" si="14"/>
        <v>3</v>
      </c>
      <c r="R146" s="226"/>
      <c r="S146" s="227">
        <f t="shared" si="15"/>
        <v>3</v>
      </c>
      <c r="T146" s="203" t="s">
        <v>48</v>
      </c>
      <c r="U146" s="183" t="str">
        <f t="shared" si="16"/>
        <v>3 Hrs</v>
      </c>
    </row>
    <row r="147" spans="3:21" s="172" customFormat="1" ht="20.25" customHeight="1">
      <c r="C147" s="185"/>
      <c r="D147" s="190">
        <f t="shared" si="24"/>
        <v>147</v>
      </c>
      <c r="E147" s="194" t="s">
        <v>163</v>
      </c>
      <c r="F147" s="198">
        <f t="shared" si="17"/>
        <v>146</v>
      </c>
      <c r="G147" s="193" t="s">
        <v>44</v>
      </c>
      <c r="H147" s="193"/>
      <c r="I147" s="211">
        <v>16</v>
      </c>
      <c r="J147" s="195"/>
      <c r="K147" s="221">
        <v>4</v>
      </c>
      <c r="L147" s="195" t="s">
        <v>81</v>
      </c>
      <c r="M147" s="222">
        <f>K147</f>
        <v>4</v>
      </c>
      <c r="N147" s="195" t="s">
        <v>81</v>
      </c>
      <c r="O147" s="205">
        <v>0.5</v>
      </c>
      <c r="P147" s="195" t="s">
        <v>162</v>
      </c>
      <c r="Q147" s="227">
        <f t="shared" si="14"/>
        <v>2</v>
      </c>
      <c r="R147" s="226"/>
      <c r="S147" s="227">
        <f t="shared" si="15"/>
        <v>2</v>
      </c>
      <c r="T147" s="203" t="s">
        <v>48</v>
      </c>
      <c r="U147" s="183" t="str">
        <f t="shared" si="16"/>
        <v>2 Hrs</v>
      </c>
    </row>
    <row r="148" spans="3:21" s="172" customFormat="1" ht="20.25" customHeight="1">
      <c r="C148" s="185"/>
      <c r="D148" s="190">
        <f t="shared" si="24"/>
        <v>148</v>
      </c>
      <c r="E148" s="194" t="s">
        <v>164</v>
      </c>
      <c r="F148" s="198">
        <f t="shared" si="17"/>
        <v>147</v>
      </c>
      <c r="G148" s="193" t="s">
        <v>44</v>
      </c>
      <c r="H148" s="193"/>
      <c r="I148" s="211">
        <v>16</v>
      </c>
      <c r="J148" s="195"/>
      <c r="K148" s="221">
        <v>4</v>
      </c>
      <c r="L148" s="195" t="s">
        <v>81</v>
      </c>
      <c r="M148" s="222">
        <f>K148</f>
        <v>4</v>
      </c>
      <c r="N148" s="195" t="s">
        <v>81</v>
      </c>
      <c r="O148" s="205">
        <v>0.5</v>
      </c>
      <c r="P148" s="195" t="s">
        <v>162</v>
      </c>
      <c r="Q148" s="227">
        <f t="shared" si="14"/>
        <v>2</v>
      </c>
      <c r="R148" s="226"/>
      <c r="S148" s="227">
        <f t="shared" si="15"/>
        <v>2</v>
      </c>
      <c r="T148" s="203" t="s">
        <v>48</v>
      </c>
      <c r="U148" s="183" t="str">
        <f t="shared" si="16"/>
        <v>2 Hrs</v>
      </c>
    </row>
    <row r="149" spans="3:21" s="172" customFormat="1" ht="20.25" customHeight="1">
      <c r="C149" s="185"/>
      <c r="D149" s="190">
        <f t="shared" si="24"/>
        <v>149</v>
      </c>
      <c r="E149" s="194" t="s">
        <v>165</v>
      </c>
      <c r="F149" s="198">
        <f t="shared" si="17"/>
        <v>148</v>
      </c>
      <c r="G149" s="193" t="s">
        <v>44</v>
      </c>
      <c r="H149" s="193"/>
      <c r="I149" s="211">
        <v>30</v>
      </c>
      <c r="J149" s="195"/>
      <c r="K149" s="221">
        <v>2</v>
      </c>
      <c r="L149" s="195" t="s">
        <v>81</v>
      </c>
      <c r="M149" s="222">
        <f>K149</f>
        <v>2</v>
      </c>
      <c r="N149" s="195" t="s">
        <v>81</v>
      </c>
      <c r="O149" s="205">
        <v>0.5</v>
      </c>
      <c r="P149" s="195" t="s">
        <v>162</v>
      </c>
      <c r="Q149" s="227">
        <f t="shared" si="14"/>
        <v>1</v>
      </c>
      <c r="R149" s="226"/>
      <c r="S149" s="227">
        <f t="shared" si="15"/>
        <v>1</v>
      </c>
      <c r="T149" s="203" t="s">
        <v>48</v>
      </c>
      <c r="U149" s="183" t="str">
        <f t="shared" si="16"/>
        <v>1 Hrs</v>
      </c>
    </row>
    <row r="150" spans="3:21" s="172" customFormat="1" ht="20.25" customHeight="1">
      <c r="C150" s="185"/>
      <c r="D150" s="190">
        <f t="shared" si="24"/>
        <v>150</v>
      </c>
      <c r="E150" s="194" t="s">
        <v>166</v>
      </c>
      <c r="F150" s="198">
        <f t="shared" si="17"/>
        <v>149</v>
      </c>
      <c r="G150" s="193" t="s">
        <v>52</v>
      </c>
      <c r="H150" s="193"/>
      <c r="I150" s="195"/>
      <c r="J150" s="195"/>
      <c r="K150" s="221">
        <v>6</v>
      </c>
      <c r="L150" s="195" t="s">
        <v>81</v>
      </c>
      <c r="M150" s="222">
        <f>K150</f>
        <v>6</v>
      </c>
      <c r="N150" s="195" t="s">
        <v>81</v>
      </c>
      <c r="O150" s="205">
        <v>0.5</v>
      </c>
      <c r="P150" s="195" t="s">
        <v>162</v>
      </c>
      <c r="Q150" s="227">
        <f t="shared" si="14"/>
        <v>3</v>
      </c>
      <c r="R150" s="226"/>
      <c r="S150" s="227">
        <f t="shared" si="15"/>
        <v>3</v>
      </c>
      <c r="T150" s="203" t="s">
        <v>48</v>
      </c>
      <c r="U150" s="183" t="str">
        <f t="shared" si="16"/>
        <v>3 Hrs</v>
      </c>
    </row>
    <row r="151" spans="3:21" s="172" customFormat="1" ht="20.25" customHeight="1">
      <c r="C151" s="185"/>
      <c r="D151" s="190">
        <f t="shared" si="24"/>
        <v>151</v>
      </c>
      <c r="E151" s="194" t="s">
        <v>167</v>
      </c>
      <c r="F151" s="198">
        <f t="shared" si="17"/>
        <v>150</v>
      </c>
      <c r="G151" s="193" t="s">
        <v>52</v>
      </c>
      <c r="H151" s="193"/>
      <c r="I151" s="195"/>
      <c r="J151" s="195"/>
      <c r="K151" s="221">
        <v>4</v>
      </c>
      <c r="L151" s="195" t="s">
        <v>81</v>
      </c>
      <c r="M151" s="222">
        <f t="shared" ref="M151:M158" si="28">K151</f>
        <v>4</v>
      </c>
      <c r="N151" s="195" t="s">
        <v>81</v>
      </c>
      <c r="O151" s="205">
        <v>0.5</v>
      </c>
      <c r="P151" s="195" t="s">
        <v>162</v>
      </c>
      <c r="Q151" s="227">
        <f t="shared" si="14"/>
        <v>2</v>
      </c>
      <c r="R151" s="226"/>
      <c r="S151" s="227">
        <f t="shared" si="15"/>
        <v>2</v>
      </c>
      <c r="T151" s="203" t="s">
        <v>48</v>
      </c>
      <c r="U151" s="183" t="str">
        <f t="shared" si="16"/>
        <v>2 Hrs</v>
      </c>
    </row>
    <row r="152" spans="3:21" s="172" customFormat="1" ht="20.25" customHeight="1">
      <c r="C152" s="185"/>
      <c r="D152" s="190">
        <f t="shared" si="24"/>
        <v>152</v>
      </c>
      <c r="E152" s="194" t="s">
        <v>168</v>
      </c>
      <c r="F152" s="198">
        <f t="shared" si="17"/>
        <v>151</v>
      </c>
      <c r="G152" s="193" t="s">
        <v>44</v>
      </c>
      <c r="H152" s="193"/>
      <c r="I152" s="195"/>
      <c r="J152" s="195"/>
      <c r="K152" s="221">
        <v>6</v>
      </c>
      <c r="L152" s="195" t="s">
        <v>81</v>
      </c>
      <c r="M152" s="222">
        <f t="shared" si="28"/>
        <v>6</v>
      </c>
      <c r="N152" s="195" t="s">
        <v>81</v>
      </c>
      <c r="O152" s="205">
        <v>0.5</v>
      </c>
      <c r="P152" s="195" t="s">
        <v>162</v>
      </c>
      <c r="Q152" s="227">
        <f t="shared" si="14"/>
        <v>3</v>
      </c>
      <c r="R152" s="226"/>
      <c r="S152" s="227">
        <f t="shared" si="15"/>
        <v>3</v>
      </c>
      <c r="T152" s="203" t="s">
        <v>48</v>
      </c>
      <c r="U152" s="183" t="str">
        <f t="shared" si="16"/>
        <v>3 Hrs</v>
      </c>
    </row>
    <row r="153" spans="3:21" s="172" customFormat="1" ht="20.25" customHeight="1">
      <c r="C153" s="185"/>
      <c r="D153" s="190">
        <f t="shared" si="24"/>
        <v>153</v>
      </c>
      <c r="E153" s="194" t="s">
        <v>169</v>
      </c>
      <c r="F153" s="198">
        <f t="shared" si="17"/>
        <v>152</v>
      </c>
      <c r="G153" s="193" t="s">
        <v>61</v>
      </c>
      <c r="H153" s="193"/>
      <c r="I153" s="195"/>
      <c r="J153" s="195"/>
      <c r="K153" s="221">
        <v>10</v>
      </c>
      <c r="L153" s="195" t="s">
        <v>81</v>
      </c>
      <c r="M153" s="222">
        <f t="shared" si="28"/>
        <v>10</v>
      </c>
      <c r="N153" s="195" t="s">
        <v>81</v>
      </c>
      <c r="O153" s="205">
        <v>0.5</v>
      </c>
      <c r="P153" s="195" t="s">
        <v>162</v>
      </c>
      <c r="Q153" s="227">
        <f t="shared" si="14"/>
        <v>5</v>
      </c>
      <c r="R153" s="226"/>
      <c r="S153" s="227">
        <f t="shared" si="15"/>
        <v>5</v>
      </c>
      <c r="T153" s="203" t="s">
        <v>48</v>
      </c>
      <c r="U153" s="183" t="str">
        <f t="shared" si="16"/>
        <v>5 Hrs</v>
      </c>
    </row>
    <row r="154" spans="3:21" s="172" customFormat="1" ht="20.25" customHeight="1">
      <c r="C154" s="185"/>
      <c r="D154" s="190">
        <f t="shared" si="24"/>
        <v>154</v>
      </c>
      <c r="E154" s="194" t="s">
        <v>170</v>
      </c>
      <c r="F154" s="198">
        <f t="shared" si="17"/>
        <v>153</v>
      </c>
      <c r="G154" s="193" t="s">
        <v>61</v>
      </c>
      <c r="H154" s="193"/>
      <c r="I154" s="195"/>
      <c r="J154" s="195"/>
      <c r="K154" s="221">
        <v>2</v>
      </c>
      <c r="L154" s="195" t="s">
        <v>81</v>
      </c>
      <c r="M154" s="222">
        <f t="shared" si="28"/>
        <v>2</v>
      </c>
      <c r="N154" s="195" t="s">
        <v>81</v>
      </c>
      <c r="O154" s="205">
        <v>0.5</v>
      </c>
      <c r="P154" s="195" t="s">
        <v>162</v>
      </c>
      <c r="Q154" s="227">
        <f t="shared" si="14"/>
        <v>1</v>
      </c>
      <c r="R154" s="226"/>
      <c r="S154" s="227">
        <f t="shared" si="15"/>
        <v>1</v>
      </c>
      <c r="T154" s="203" t="s">
        <v>48</v>
      </c>
      <c r="U154" s="183" t="str">
        <f t="shared" si="16"/>
        <v>1 Hrs</v>
      </c>
    </row>
    <row r="155" spans="3:21" s="172" customFormat="1" ht="20.25" customHeight="1">
      <c r="C155" s="185"/>
      <c r="D155" s="190">
        <f t="shared" si="24"/>
        <v>155</v>
      </c>
      <c r="E155" s="194" t="s">
        <v>171</v>
      </c>
      <c r="F155" s="198">
        <f t="shared" si="17"/>
        <v>154</v>
      </c>
      <c r="G155" s="193" t="s">
        <v>172</v>
      </c>
      <c r="H155" s="193"/>
      <c r="I155" s="195"/>
      <c r="J155" s="195"/>
      <c r="K155" s="221">
        <v>2</v>
      </c>
      <c r="L155" s="195" t="s">
        <v>81</v>
      </c>
      <c r="M155" s="222">
        <f t="shared" si="28"/>
        <v>2</v>
      </c>
      <c r="N155" s="195" t="s">
        <v>81</v>
      </c>
      <c r="O155" s="205">
        <v>0.5</v>
      </c>
      <c r="P155" s="195" t="s">
        <v>162</v>
      </c>
      <c r="Q155" s="227">
        <f t="shared" si="14"/>
        <v>1</v>
      </c>
      <c r="R155" s="226"/>
      <c r="S155" s="227">
        <f t="shared" si="15"/>
        <v>1</v>
      </c>
      <c r="T155" s="203" t="s">
        <v>48</v>
      </c>
      <c r="U155" s="183" t="str">
        <f t="shared" si="16"/>
        <v>1 Hrs</v>
      </c>
    </row>
    <row r="156" spans="3:21" s="172" customFormat="1" ht="20.25" customHeight="1">
      <c r="C156" s="185"/>
      <c r="D156" s="190">
        <f t="shared" si="24"/>
        <v>156</v>
      </c>
      <c r="E156" s="194" t="s">
        <v>173</v>
      </c>
      <c r="F156" s="198">
        <f t="shared" si="17"/>
        <v>155</v>
      </c>
      <c r="G156" s="193" t="s">
        <v>115</v>
      </c>
      <c r="H156" s="193"/>
      <c r="I156" s="195"/>
      <c r="J156" s="195"/>
      <c r="K156" s="221">
        <v>2</v>
      </c>
      <c r="L156" s="195" t="s">
        <v>81</v>
      </c>
      <c r="M156" s="222">
        <f t="shared" si="28"/>
        <v>2</v>
      </c>
      <c r="N156" s="195" t="s">
        <v>81</v>
      </c>
      <c r="O156" s="205">
        <v>0.5</v>
      </c>
      <c r="P156" s="195" t="s">
        <v>162</v>
      </c>
      <c r="Q156" s="227">
        <f t="shared" si="14"/>
        <v>1</v>
      </c>
      <c r="R156" s="226"/>
      <c r="S156" s="227">
        <f t="shared" si="15"/>
        <v>1</v>
      </c>
      <c r="T156" s="203" t="s">
        <v>48</v>
      </c>
      <c r="U156" s="183" t="str">
        <f t="shared" ref="U156:U219" si="29">CONCATENATE(S156," ",T156)</f>
        <v>1 Hrs</v>
      </c>
    </row>
    <row r="157" spans="3:21" s="172" customFormat="1" ht="20.25" customHeight="1">
      <c r="C157" s="185"/>
      <c r="D157" s="190">
        <f t="shared" si="24"/>
        <v>157</v>
      </c>
      <c r="E157" s="194" t="s">
        <v>174</v>
      </c>
      <c r="F157" s="198">
        <f t="shared" ref="F157:F220" si="30">D156</f>
        <v>156</v>
      </c>
      <c r="G157" s="193" t="s">
        <v>115</v>
      </c>
      <c r="H157" s="193"/>
      <c r="I157" s="195"/>
      <c r="J157" s="195"/>
      <c r="K157" s="221">
        <v>2</v>
      </c>
      <c r="L157" s="195" t="s">
        <v>81</v>
      </c>
      <c r="M157" s="222">
        <f t="shared" si="28"/>
        <v>2</v>
      </c>
      <c r="N157" s="195" t="s">
        <v>81</v>
      </c>
      <c r="O157" s="205">
        <v>0.5</v>
      </c>
      <c r="P157" s="195" t="s">
        <v>162</v>
      </c>
      <c r="Q157" s="227">
        <f t="shared" ref="Q157:Q220" si="31">M157*O157</f>
        <v>1</v>
      </c>
      <c r="R157" s="226"/>
      <c r="S157" s="227">
        <f t="shared" ref="S157:S220" si="32">ROUND(Q157+R157,2)</f>
        <v>1</v>
      </c>
      <c r="T157" s="203" t="s">
        <v>48</v>
      </c>
      <c r="U157" s="183" t="str">
        <f t="shared" si="29"/>
        <v>1 Hrs</v>
      </c>
    </row>
    <row r="158" spans="3:21" s="172" customFormat="1" ht="20.25" customHeight="1">
      <c r="C158" s="185"/>
      <c r="D158" s="190">
        <f t="shared" si="24"/>
        <v>158</v>
      </c>
      <c r="E158" s="194" t="s">
        <v>175</v>
      </c>
      <c r="F158" s="198">
        <f t="shared" si="30"/>
        <v>157</v>
      </c>
      <c r="G158" s="193" t="s">
        <v>44</v>
      </c>
      <c r="H158" s="193"/>
      <c r="I158" s="195"/>
      <c r="J158" s="195"/>
      <c r="K158" s="221">
        <v>4</v>
      </c>
      <c r="L158" s="195" t="s">
        <v>81</v>
      </c>
      <c r="M158" s="222">
        <f t="shared" si="28"/>
        <v>4</v>
      </c>
      <c r="N158" s="195" t="s">
        <v>81</v>
      </c>
      <c r="O158" s="205">
        <v>0.5</v>
      </c>
      <c r="P158" s="195" t="s">
        <v>162</v>
      </c>
      <c r="Q158" s="227">
        <f t="shared" si="31"/>
        <v>2</v>
      </c>
      <c r="R158" s="226"/>
      <c r="S158" s="227">
        <f t="shared" si="32"/>
        <v>2</v>
      </c>
      <c r="T158" s="203" t="s">
        <v>48</v>
      </c>
      <c r="U158" s="183" t="str">
        <f t="shared" si="29"/>
        <v>2 Hrs</v>
      </c>
    </row>
    <row r="159" spans="3:21" s="172" customFormat="1" ht="20.25" customHeight="1">
      <c r="C159" s="185">
        <f>D159</f>
        <v>159</v>
      </c>
      <c r="D159" s="190">
        <f t="shared" si="24"/>
        <v>159</v>
      </c>
      <c r="E159" s="191" t="s">
        <v>176</v>
      </c>
      <c r="F159" s="197">
        <f>D144</f>
        <v>144</v>
      </c>
      <c r="G159" s="193"/>
      <c r="H159" s="193"/>
      <c r="I159" s="195"/>
      <c r="J159" s="195"/>
      <c r="K159" s="221"/>
      <c r="L159" s="195"/>
      <c r="M159" s="204"/>
      <c r="N159" s="195"/>
      <c r="O159" s="205"/>
      <c r="P159" s="195"/>
      <c r="Q159" s="227"/>
      <c r="R159" s="226"/>
      <c r="S159" s="227"/>
      <c r="T159" s="203"/>
      <c r="U159" s="183"/>
    </row>
    <row r="160" spans="3:21" s="172" customFormat="1" ht="20.25" customHeight="1">
      <c r="C160" s="185"/>
      <c r="D160" s="190">
        <f t="shared" si="24"/>
        <v>160</v>
      </c>
      <c r="E160" s="194" t="s">
        <v>135</v>
      </c>
      <c r="F160" s="198"/>
      <c r="G160" s="193"/>
      <c r="H160" s="193"/>
      <c r="I160" s="195"/>
      <c r="J160" s="195"/>
      <c r="K160" s="221">
        <v>1</v>
      </c>
      <c r="L160" s="195" t="s">
        <v>160</v>
      </c>
      <c r="M160" s="204">
        <v>1</v>
      </c>
      <c r="N160" s="195" t="s">
        <v>160</v>
      </c>
      <c r="O160" s="205">
        <v>4</v>
      </c>
      <c r="P160" s="195" t="s">
        <v>177</v>
      </c>
      <c r="Q160" s="227">
        <f t="shared" si="31"/>
        <v>4</v>
      </c>
      <c r="R160" s="226"/>
      <c r="S160" s="227">
        <f t="shared" si="32"/>
        <v>4</v>
      </c>
      <c r="T160" s="203" t="s">
        <v>42</v>
      </c>
      <c r="U160" s="183" t="str">
        <f t="shared" si="29"/>
        <v>4 Days</v>
      </c>
    </row>
    <row r="161" spans="3:21" s="172" customFormat="1" ht="20.25" customHeight="1">
      <c r="C161" s="185"/>
      <c r="D161" s="190">
        <f t="shared" si="24"/>
        <v>161</v>
      </c>
      <c r="E161" s="194" t="s">
        <v>178</v>
      </c>
      <c r="F161" s="198">
        <f t="shared" si="30"/>
        <v>160</v>
      </c>
      <c r="G161" s="193" t="s">
        <v>44</v>
      </c>
      <c r="H161" s="193"/>
      <c r="I161" s="211">
        <v>18</v>
      </c>
      <c r="J161" s="195"/>
      <c r="K161" s="221">
        <v>4</v>
      </c>
      <c r="L161" s="195" t="s">
        <v>81</v>
      </c>
      <c r="M161" s="222">
        <f t="shared" ref="M161:M163" si="33">K161</f>
        <v>4</v>
      </c>
      <c r="N161" s="195" t="s">
        <v>81</v>
      </c>
      <c r="O161" s="205">
        <v>0.5</v>
      </c>
      <c r="P161" s="195" t="s">
        <v>162</v>
      </c>
      <c r="Q161" s="227">
        <f t="shared" si="31"/>
        <v>2</v>
      </c>
      <c r="R161" s="226"/>
      <c r="S161" s="227">
        <f t="shared" si="32"/>
        <v>2</v>
      </c>
      <c r="T161" s="203" t="s">
        <v>48</v>
      </c>
      <c r="U161" s="183" t="str">
        <f t="shared" si="29"/>
        <v>2 Hrs</v>
      </c>
    </row>
    <row r="162" spans="3:21" s="172" customFormat="1" ht="20.25" customHeight="1">
      <c r="C162" s="185"/>
      <c r="D162" s="190">
        <f t="shared" si="24"/>
        <v>162</v>
      </c>
      <c r="E162" s="194" t="s">
        <v>179</v>
      </c>
      <c r="F162" s="198">
        <f t="shared" si="30"/>
        <v>161</v>
      </c>
      <c r="G162" s="193" t="s">
        <v>52</v>
      </c>
      <c r="H162" s="193"/>
      <c r="I162" s="195"/>
      <c r="J162" s="195"/>
      <c r="K162" s="221">
        <v>4</v>
      </c>
      <c r="L162" s="195" t="s">
        <v>81</v>
      </c>
      <c r="M162" s="222">
        <f t="shared" si="33"/>
        <v>4</v>
      </c>
      <c r="N162" s="195" t="s">
        <v>81</v>
      </c>
      <c r="O162" s="205">
        <v>0.5</v>
      </c>
      <c r="P162" s="195" t="s">
        <v>162</v>
      </c>
      <c r="Q162" s="227">
        <f t="shared" si="31"/>
        <v>2</v>
      </c>
      <c r="R162" s="226"/>
      <c r="S162" s="227">
        <f t="shared" si="32"/>
        <v>2</v>
      </c>
      <c r="T162" s="203" t="s">
        <v>48</v>
      </c>
      <c r="U162" s="183" t="str">
        <f t="shared" si="29"/>
        <v>2 Hrs</v>
      </c>
    </row>
    <row r="163" spans="3:21" s="172" customFormat="1" ht="20.25" customHeight="1">
      <c r="C163" s="185"/>
      <c r="D163" s="190">
        <f t="shared" si="24"/>
        <v>163</v>
      </c>
      <c r="E163" s="194" t="s">
        <v>180</v>
      </c>
      <c r="F163" s="198">
        <f t="shared" si="30"/>
        <v>162</v>
      </c>
      <c r="G163" s="193" t="s">
        <v>121</v>
      </c>
      <c r="H163" s="193"/>
      <c r="I163" s="195"/>
      <c r="J163" s="195"/>
      <c r="K163" s="221">
        <v>4</v>
      </c>
      <c r="L163" s="195" t="s">
        <v>81</v>
      </c>
      <c r="M163" s="222">
        <f t="shared" si="33"/>
        <v>4</v>
      </c>
      <c r="N163" s="195" t="s">
        <v>81</v>
      </c>
      <c r="O163" s="205">
        <v>0.5</v>
      </c>
      <c r="P163" s="195" t="s">
        <v>162</v>
      </c>
      <c r="Q163" s="227">
        <f t="shared" si="31"/>
        <v>2</v>
      </c>
      <c r="R163" s="226"/>
      <c r="S163" s="227">
        <f t="shared" si="32"/>
        <v>2</v>
      </c>
      <c r="T163" s="203" t="s">
        <v>48</v>
      </c>
      <c r="U163" s="183" t="str">
        <f t="shared" si="29"/>
        <v>2 Hrs</v>
      </c>
    </row>
    <row r="164" spans="3:21" s="172" customFormat="1" ht="20.25" customHeight="1">
      <c r="C164" s="185">
        <f>D164</f>
        <v>164</v>
      </c>
      <c r="D164" s="190">
        <f t="shared" si="24"/>
        <v>164</v>
      </c>
      <c r="E164" s="191" t="s">
        <v>181</v>
      </c>
      <c r="F164" s="197">
        <f>D159</f>
        <v>159</v>
      </c>
      <c r="G164" s="193"/>
      <c r="H164" s="193"/>
      <c r="I164" s="195"/>
      <c r="J164" s="195"/>
      <c r="K164" s="221"/>
      <c r="L164" s="195"/>
      <c r="M164" s="204"/>
      <c r="N164" s="195"/>
      <c r="O164" s="205"/>
      <c r="P164" s="195"/>
      <c r="Q164" s="227"/>
      <c r="R164" s="226"/>
      <c r="S164" s="227"/>
      <c r="T164" s="203"/>
      <c r="U164" s="183"/>
    </row>
    <row r="165" spans="3:21" s="172" customFormat="1" ht="20.25" customHeight="1">
      <c r="C165" s="185"/>
      <c r="D165" s="190">
        <f t="shared" si="24"/>
        <v>165</v>
      </c>
      <c r="E165" s="194" t="s">
        <v>182</v>
      </c>
      <c r="F165" s="198"/>
      <c r="G165" s="193" t="s">
        <v>44</v>
      </c>
      <c r="H165" s="193"/>
      <c r="I165" s="211">
        <v>24</v>
      </c>
      <c r="J165" s="195"/>
      <c r="K165" s="221">
        <v>1</v>
      </c>
      <c r="L165" s="195" t="s">
        <v>160</v>
      </c>
      <c r="M165" s="204">
        <v>1</v>
      </c>
      <c r="N165" s="195" t="s">
        <v>160</v>
      </c>
      <c r="O165" s="205">
        <v>4</v>
      </c>
      <c r="P165" s="195" t="s">
        <v>177</v>
      </c>
      <c r="Q165" s="227">
        <f t="shared" si="31"/>
        <v>4</v>
      </c>
      <c r="R165" s="226"/>
      <c r="S165" s="227">
        <f t="shared" si="32"/>
        <v>4</v>
      </c>
      <c r="T165" s="203" t="s">
        <v>42</v>
      </c>
      <c r="U165" s="183" t="str">
        <f t="shared" si="29"/>
        <v>4 Days</v>
      </c>
    </row>
    <row r="166" spans="3:21" s="172" customFormat="1" ht="20.25" customHeight="1">
      <c r="C166" s="185"/>
      <c r="D166" s="190">
        <f t="shared" si="24"/>
        <v>166</v>
      </c>
      <c r="E166" s="194" t="s">
        <v>183</v>
      </c>
      <c r="F166" s="198">
        <f t="shared" si="30"/>
        <v>165</v>
      </c>
      <c r="G166" s="193" t="s">
        <v>52</v>
      </c>
      <c r="H166" s="193"/>
      <c r="I166" s="195"/>
      <c r="J166" s="195"/>
      <c r="K166" s="221">
        <v>4</v>
      </c>
      <c r="L166" s="195" t="s">
        <v>81</v>
      </c>
      <c r="M166" s="222">
        <f t="shared" ref="M166:M168" si="34">K166</f>
        <v>4</v>
      </c>
      <c r="N166" s="195" t="s">
        <v>81</v>
      </c>
      <c r="O166" s="205">
        <v>0.5</v>
      </c>
      <c r="P166" s="195" t="s">
        <v>162</v>
      </c>
      <c r="Q166" s="227">
        <f t="shared" si="31"/>
        <v>2</v>
      </c>
      <c r="R166" s="226"/>
      <c r="S166" s="227">
        <f t="shared" si="32"/>
        <v>2</v>
      </c>
      <c r="T166" s="203" t="s">
        <v>48</v>
      </c>
      <c r="U166" s="183" t="str">
        <f t="shared" si="29"/>
        <v>2 Hrs</v>
      </c>
    </row>
    <row r="167" spans="3:21" s="172" customFormat="1" ht="20.25" customHeight="1">
      <c r="C167" s="185"/>
      <c r="D167" s="190">
        <f t="shared" si="24"/>
        <v>167</v>
      </c>
      <c r="E167" s="194" t="s">
        <v>184</v>
      </c>
      <c r="F167" s="198">
        <f t="shared" si="30"/>
        <v>166</v>
      </c>
      <c r="G167" s="193" t="s">
        <v>121</v>
      </c>
      <c r="H167" s="193"/>
      <c r="I167" s="195"/>
      <c r="J167" s="195"/>
      <c r="K167" s="221">
        <v>4</v>
      </c>
      <c r="L167" s="195" t="s">
        <v>81</v>
      </c>
      <c r="M167" s="222">
        <f t="shared" si="34"/>
        <v>4</v>
      </c>
      <c r="N167" s="195" t="s">
        <v>81</v>
      </c>
      <c r="O167" s="205">
        <v>0.5</v>
      </c>
      <c r="P167" s="195" t="s">
        <v>162</v>
      </c>
      <c r="Q167" s="227">
        <f t="shared" si="31"/>
        <v>2</v>
      </c>
      <c r="R167" s="226"/>
      <c r="S167" s="227">
        <f t="shared" si="32"/>
        <v>2</v>
      </c>
      <c r="T167" s="203" t="s">
        <v>48</v>
      </c>
      <c r="U167" s="183" t="str">
        <f t="shared" si="29"/>
        <v>2 Hrs</v>
      </c>
    </row>
    <row r="168" spans="3:21" s="172" customFormat="1" ht="20.25" customHeight="1">
      <c r="C168" s="185"/>
      <c r="D168" s="190">
        <f t="shared" si="24"/>
        <v>168</v>
      </c>
      <c r="E168" s="194" t="s">
        <v>185</v>
      </c>
      <c r="F168" s="198">
        <f t="shared" si="30"/>
        <v>167</v>
      </c>
      <c r="G168" s="193" t="s">
        <v>44</v>
      </c>
      <c r="H168" s="193"/>
      <c r="I168" s="195"/>
      <c r="J168" s="195"/>
      <c r="K168" s="221">
        <v>4</v>
      </c>
      <c r="L168" s="195" t="s">
        <v>81</v>
      </c>
      <c r="M168" s="222">
        <f t="shared" si="34"/>
        <v>4</v>
      </c>
      <c r="N168" s="195" t="s">
        <v>81</v>
      </c>
      <c r="O168" s="205">
        <v>0.5</v>
      </c>
      <c r="P168" s="195" t="s">
        <v>162</v>
      </c>
      <c r="Q168" s="227">
        <f t="shared" si="31"/>
        <v>2</v>
      </c>
      <c r="R168" s="226"/>
      <c r="S168" s="227">
        <f t="shared" si="32"/>
        <v>2</v>
      </c>
      <c r="T168" s="203" t="s">
        <v>48</v>
      </c>
      <c r="U168" s="183" t="str">
        <f t="shared" si="29"/>
        <v>2 Hrs</v>
      </c>
    </row>
    <row r="169" spans="3:21" s="172" customFormat="1" ht="20.25" customHeight="1">
      <c r="C169" s="185">
        <f>D169</f>
        <v>169</v>
      </c>
      <c r="D169" s="190">
        <f t="shared" si="24"/>
        <v>169</v>
      </c>
      <c r="E169" s="191" t="s">
        <v>186</v>
      </c>
      <c r="F169" s="197">
        <f>D164</f>
        <v>164</v>
      </c>
      <c r="G169" s="193"/>
      <c r="H169" s="193"/>
      <c r="I169" s="195"/>
      <c r="J169" s="195"/>
      <c r="K169" s="221"/>
      <c r="L169" s="195"/>
      <c r="M169" s="204"/>
      <c r="N169" s="195"/>
      <c r="O169" s="205"/>
      <c r="P169" s="195"/>
      <c r="Q169" s="227"/>
      <c r="R169" s="226"/>
      <c r="S169" s="227"/>
      <c r="T169" s="203"/>
      <c r="U169" s="183"/>
    </row>
    <row r="170" spans="3:21" s="172" customFormat="1" ht="20.25" customHeight="1">
      <c r="C170" s="185"/>
      <c r="D170" s="190">
        <f t="shared" si="24"/>
        <v>170</v>
      </c>
      <c r="E170" s="194" t="s">
        <v>187</v>
      </c>
      <c r="F170" s="198"/>
      <c r="G170" s="193" t="s">
        <v>44</v>
      </c>
      <c r="H170" s="193"/>
      <c r="I170" s="195"/>
      <c r="J170" s="195"/>
      <c r="K170" s="221">
        <v>4</v>
      </c>
      <c r="L170" s="195" t="s">
        <v>81</v>
      </c>
      <c r="M170" s="222">
        <f t="shared" ref="M170:M171" si="35">K170</f>
        <v>4</v>
      </c>
      <c r="N170" s="195" t="s">
        <v>81</v>
      </c>
      <c r="O170" s="205">
        <v>1</v>
      </c>
      <c r="P170" s="195" t="s">
        <v>162</v>
      </c>
      <c r="Q170" s="227">
        <f t="shared" si="31"/>
        <v>4</v>
      </c>
      <c r="R170" s="226"/>
      <c r="S170" s="227">
        <f t="shared" si="32"/>
        <v>4</v>
      </c>
      <c r="T170" s="203" t="s">
        <v>42</v>
      </c>
      <c r="U170" s="183" t="str">
        <f t="shared" si="29"/>
        <v>4 Days</v>
      </c>
    </row>
    <row r="171" spans="3:21" s="172" customFormat="1" ht="20.25" customHeight="1">
      <c r="C171" s="185"/>
      <c r="D171" s="190">
        <f t="shared" si="24"/>
        <v>171</v>
      </c>
      <c r="E171" s="194" t="s">
        <v>188</v>
      </c>
      <c r="F171" s="198">
        <f t="shared" si="30"/>
        <v>170</v>
      </c>
      <c r="G171" s="193" t="s">
        <v>44</v>
      </c>
      <c r="H171" s="193"/>
      <c r="I171" s="195"/>
      <c r="J171" s="195"/>
      <c r="K171" s="221">
        <v>4</v>
      </c>
      <c r="L171" s="195" t="s">
        <v>81</v>
      </c>
      <c r="M171" s="222">
        <f t="shared" si="35"/>
        <v>4</v>
      </c>
      <c r="N171" s="195" t="s">
        <v>81</v>
      </c>
      <c r="O171" s="205">
        <v>1</v>
      </c>
      <c r="P171" s="195" t="s">
        <v>162</v>
      </c>
      <c r="Q171" s="227">
        <f t="shared" si="31"/>
        <v>4</v>
      </c>
      <c r="R171" s="226"/>
      <c r="S171" s="227">
        <f t="shared" si="32"/>
        <v>4</v>
      </c>
      <c r="T171" s="203" t="s">
        <v>42</v>
      </c>
      <c r="U171" s="183" t="str">
        <f t="shared" si="29"/>
        <v>4 Days</v>
      </c>
    </row>
    <row r="172" spans="3:21" s="172" customFormat="1" ht="20.25" customHeight="1">
      <c r="C172" s="185">
        <f>D172</f>
        <v>172</v>
      </c>
      <c r="D172" s="190">
        <f t="shared" si="24"/>
        <v>172</v>
      </c>
      <c r="E172" s="191" t="s">
        <v>189</v>
      </c>
      <c r="F172" s="197">
        <f>D169</f>
        <v>169</v>
      </c>
      <c r="G172" s="193"/>
      <c r="H172" s="193"/>
      <c r="I172" s="195"/>
      <c r="J172" s="195"/>
      <c r="K172" s="221"/>
      <c r="L172" s="195"/>
      <c r="M172" s="204"/>
      <c r="N172" s="195"/>
      <c r="O172" s="205"/>
      <c r="P172" s="195"/>
      <c r="Q172" s="227"/>
      <c r="R172" s="226"/>
      <c r="S172" s="227"/>
      <c r="T172" s="203"/>
      <c r="U172" s="183"/>
    </row>
    <row r="173" spans="3:21" s="172" customFormat="1" ht="20.25" customHeight="1">
      <c r="C173" s="185"/>
      <c r="D173" s="190">
        <f t="shared" si="24"/>
        <v>173</v>
      </c>
      <c r="E173" s="194" t="s">
        <v>190</v>
      </c>
      <c r="F173" s="198"/>
      <c r="G173" s="193" t="s">
        <v>44</v>
      </c>
      <c r="H173" s="193"/>
      <c r="I173" s="211">
        <v>12</v>
      </c>
      <c r="J173" s="195"/>
      <c r="K173" s="221">
        <v>1</v>
      </c>
      <c r="L173" s="195" t="s">
        <v>81</v>
      </c>
      <c r="M173" s="222">
        <f t="shared" ref="M173:M176" si="36">K173</f>
        <v>1</v>
      </c>
      <c r="N173" s="195" t="s">
        <v>81</v>
      </c>
      <c r="O173" s="205">
        <v>4</v>
      </c>
      <c r="P173" s="195" t="s">
        <v>162</v>
      </c>
      <c r="Q173" s="227">
        <f t="shared" si="31"/>
        <v>4</v>
      </c>
      <c r="R173" s="226"/>
      <c r="S173" s="227">
        <f t="shared" si="32"/>
        <v>4</v>
      </c>
      <c r="T173" s="203" t="s">
        <v>48</v>
      </c>
      <c r="U173" s="183" t="str">
        <f t="shared" si="29"/>
        <v>4 Hrs</v>
      </c>
    </row>
    <row r="174" spans="3:21" s="172" customFormat="1" ht="20.25" customHeight="1">
      <c r="C174" s="185"/>
      <c r="D174" s="190">
        <f t="shared" si="24"/>
        <v>174</v>
      </c>
      <c r="E174" s="194" t="s">
        <v>191</v>
      </c>
      <c r="F174" s="198">
        <f t="shared" si="30"/>
        <v>173</v>
      </c>
      <c r="G174" s="193" t="s">
        <v>52</v>
      </c>
      <c r="H174" s="193"/>
      <c r="I174" s="195"/>
      <c r="J174" s="195"/>
      <c r="K174" s="221">
        <v>1</v>
      </c>
      <c r="L174" s="195" t="s">
        <v>81</v>
      </c>
      <c r="M174" s="222">
        <f t="shared" si="36"/>
        <v>1</v>
      </c>
      <c r="N174" s="195" t="s">
        <v>81</v>
      </c>
      <c r="O174" s="205">
        <v>4</v>
      </c>
      <c r="P174" s="195" t="s">
        <v>162</v>
      </c>
      <c r="Q174" s="227">
        <f t="shared" si="31"/>
        <v>4</v>
      </c>
      <c r="R174" s="226"/>
      <c r="S174" s="227">
        <f t="shared" si="32"/>
        <v>4</v>
      </c>
      <c r="T174" s="203" t="s">
        <v>48</v>
      </c>
      <c r="U174" s="183" t="str">
        <f t="shared" si="29"/>
        <v>4 Hrs</v>
      </c>
    </row>
    <row r="175" spans="3:21" s="172" customFormat="1" ht="20.25" customHeight="1">
      <c r="C175" s="185"/>
      <c r="D175" s="190">
        <f t="shared" si="24"/>
        <v>175</v>
      </c>
      <c r="E175" s="194" t="s">
        <v>192</v>
      </c>
      <c r="F175" s="198">
        <f t="shared" si="30"/>
        <v>174</v>
      </c>
      <c r="G175" s="193" t="s">
        <v>44</v>
      </c>
      <c r="H175" s="193"/>
      <c r="I175" s="195"/>
      <c r="J175" s="195"/>
      <c r="K175" s="221">
        <v>1</v>
      </c>
      <c r="L175" s="195" t="s">
        <v>81</v>
      </c>
      <c r="M175" s="222">
        <f t="shared" si="36"/>
        <v>1</v>
      </c>
      <c r="N175" s="195" t="s">
        <v>81</v>
      </c>
      <c r="O175" s="205">
        <v>2</v>
      </c>
      <c r="P175" s="195" t="s">
        <v>162</v>
      </c>
      <c r="Q175" s="227">
        <f t="shared" si="31"/>
        <v>2</v>
      </c>
      <c r="R175" s="226"/>
      <c r="S175" s="227">
        <f t="shared" si="32"/>
        <v>2</v>
      </c>
      <c r="T175" s="203" t="s">
        <v>48</v>
      </c>
      <c r="U175" s="183" t="str">
        <f t="shared" si="29"/>
        <v>2 Hrs</v>
      </c>
    </row>
    <row r="176" spans="3:21" s="172" customFormat="1" ht="20.25" customHeight="1">
      <c r="C176" s="185"/>
      <c r="D176" s="190">
        <f t="shared" si="24"/>
        <v>176</v>
      </c>
      <c r="E176" s="194" t="s">
        <v>193</v>
      </c>
      <c r="F176" s="198">
        <f t="shared" si="30"/>
        <v>175</v>
      </c>
      <c r="G176" s="193" t="s">
        <v>44</v>
      </c>
      <c r="H176" s="193"/>
      <c r="I176" s="195"/>
      <c r="J176" s="195"/>
      <c r="K176" s="221">
        <v>1</v>
      </c>
      <c r="L176" s="195" t="s">
        <v>81</v>
      </c>
      <c r="M176" s="222">
        <f t="shared" si="36"/>
        <v>1</v>
      </c>
      <c r="N176" s="195" t="s">
        <v>81</v>
      </c>
      <c r="O176" s="205">
        <v>1</v>
      </c>
      <c r="P176" s="195" t="s">
        <v>162</v>
      </c>
      <c r="Q176" s="227">
        <f t="shared" si="31"/>
        <v>1</v>
      </c>
      <c r="R176" s="226"/>
      <c r="S176" s="227">
        <f t="shared" si="32"/>
        <v>1</v>
      </c>
      <c r="T176" s="203" t="s">
        <v>48</v>
      </c>
      <c r="U176" s="183" t="str">
        <f t="shared" si="29"/>
        <v>1 Hrs</v>
      </c>
    </row>
    <row r="177" spans="3:21" s="172" customFormat="1" ht="20.25" customHeight="1">
      <c r="C177" s="185">
        <f t="shared" ref="C177:C178" si="37">D177</f>
        <v>177</v>
      </c>
      <c r="D177" s="190">
        <f t="shared" si="24"/>
        <v>177</v>
      </c>
      <c r="E177" s="234" t="s">
        <v>194</v>
      </c>
      <c r="F177" s="197"/>
      <c r="G177" s="193"/>
      <c r="H177" s="193"/>
      <c r="I177" s="195"/>
      <c r="J177" s="195"/>
      <c r="K177" s="221"/>
      <c r="L177" s="195"/>
      <c r="M177" s="204"/>
      <c r="N177" s="195"/>
      <c r="O177" s="205"/>
      <c r="P177" s="195"/>
      <c r="Q177" s="227"/>
      <c r="R177" s="226"/>
      <c r="S177" s="227"/>
      <c r="T177" s="203"/>
      <c r="U177" s="183"/>
    </row>
    <row r="178" spans="3:21" s="172" customFormat="1" ht="20.25" customHeight="1">
      <c r="C178" s="185">
        <f t="shared" si="37"/>
        <v>178</v>
      </c>
      <c r="D178" s="190">
        <f t="shared" si="24"/>
        <v>178</v>
      </c>
      <c r="E178" s="196" t="s">
        <v>195</v>
      </c>
      <c r="F178" s="197">
        <f t="shared" si="30"/>
        <v>177</v>
      </c>
      <c r="G178" s="193"/>
      <c r="H178" s="193"/>
      <c r="I178" s="195"/>
      <c r="J178" s="195"/>
      <c r="K178" s="221"/>
      <c r="L178" s="195"/>
      <c r="M178" s="204"/>
      <c r="N178" s="195"/>
      <c r="O178" s="205"/>
      <c r="P178" s="195"/>
      <c r="Q178" s="227"/>
      <c r="R178" s="226"/>
      <c r="S178" s="227"/>
      <c r="T178" s="203"/>
      <c r="U178" s="183"/>
    </row>
    <row r="179" spans="3:21" s="172" customFormat="1" ht="20.25" customHeight="1">
      <c r="C179" s="185"/>
      <c r="D179" s="190">
        <f t="shared" si="24"/>
        <v>179</v>
      </c>
      <c r="E179" s="194" t="s">
        <v>196</v>
      </c>
      <c r="F179" s="198"/>
      <c r="G179" s="193"/>
      <c r="H179" s="193"/>
      <c r="I179" s="195"/>
      <c r="J179" s="195"/>
      <c r="K179" s="221">
        <v>1</v>
      </c>
      <c r="L179" s="195" t="s">
        <v>81</v>
      </c>
      <c r="M179" s="222">
        <f t="shared" ref="M179" si="38">K179</f>
        <v>1</v>
      </c>
      <c r="N179" s="195" t="s">
        <v>84</v>
      </c>
      <c r="O179" s="205">
        <v>4</v>
      </c>
      <c r="P179" s="195" t="s">
        <v>41</v>
      </c>
      <c r="Q179" s="227">
        <f t="shared" si="31"/>
        <v>4</v>
      </c>
      <c r="R179" s="226"/>
      <c r="S179" s="227">
        <f t="shared" si="32"/>
        <v>4</v>
      </c>
      <c r="T179" s="203" t="s">
        <v>48</v>
      </c>
      <c r="U179" s="183" t="str">
        <f t="shared" si="29"/>
        <v>4 Hrs</v>
      </c>
    </row>
    <row r="180" spans="3:21" s="172" customFormat="1" ht="20.25" customHeight="1">
      <c r="C180" s="185"/>
      <c r="D180" s="190">
        <f t="shared" si="24"/>
        <v>180</v>
      </c>
      <c r="E180" s="194" t="s">
        <v>197</v>
      </c>
      <c r="F180" s="198">
        <f t="shared" si="30"/>
        <v>179</v>
      </c>
      <c r="G180" s="193" t="s">
        <v>44</v>
      </c>
      <c r="H180" s="193"/>
      <c r="I180" s="211">
        <v>14</v>
      </c>
      <c r="J180" s="195"/>
      <c r="K180" s="221">
        <v>19</v>
      </c>
      <c r="L180" s="195" t="s">
        <v>81</v>
      </c>
      <c r="M180" s="204">
        <v>1</v>
      </c>
      <c r="N180" s="195" t="s">
        <v>84</v>
      </c>
      <c r="O180" s="205">
        <v>1</v>
      </c>
      <c r="P180" s="195" t="s">
        <v>41</v>
      </c>
      <c r="Q180" s="227">
        <f t="shared" si="31"/>
        <v>1</v>
      </c>
      <c r="R180" s="226"/>
      <c r="S180" s="227">
        <f t="shared" si="32"/>
        <v>1</v>
      </c>
      <c r="T180" s="203" t="s">
        <v>48</v>
      </c>
      <c r="U180" s="183" t="str">
        <f t="shared" si="29"/>
        <v>1 Hrs</v>
      </c>
    </row>
    <row r="181" spans="3:21" s="172" customFormat="1" ht="20.25" customHeight="1">
      <c r="C181" s="185"/>
      <c r="D181" s="190">
        <f t="shared" si="24"/>
        <v>181</v>
      </c>
      <c r="E181" s="194" t="s">
        <v>198</v>
      </c>
      <c r="F181" s="198">
        <f t="shared" si="30"/>
        <v>180</v>
      </c>
      <c r="G181" s="193" t="s">
        <v>52</v>
      </c>
      <c r="H181" s="193"/>
      <c r="I181" s="195"/>
      <c r="J181" s="195"/>
      <c r="K181" s="221">
        <v>19</v>
      </c>
      <c r="L181" s="195" t="s">
        <v>81</v>
      </c>
      <c r="M181" s="204">
        <v>1</v>
      </c>
      <c r="N181" s="195" t="s">
        <v>84</v>
      </c>
      <c r="O181" s="205">
        <v>5</v>
      </c>
      <c r="P181" s="195" t="s">
        <v>41</v>
      </c>
      <c r="Q181" s="227">
        <f t="shared" si="31"/>
        <v>5</v>
      </c>
      <c r="R181" s="226"/>
      <c r="S181" s="227">
        <f t="shared" si="32"/>
        <v>5</v>
      </c>
      <c r="T181" s="203" t="s">
        <v>48</v>
      </c>
      <c r="U181" s="183" t="str">
        <f t="shared" si="29"/>
        <v>5 Hrs</v>
      </c>
    </row>
    <row r="182" spans="3:21" s="172" customFormat="1" ht="20.25" customHeight="1">
      <c r="C182" s="185">
        <f>D182</f>
        <v>182</v>
      </c>
      <c r="D182" s="190">
        <f t="shared" si="24"/>
        <v>182</v>
      </c>
      <c r="E182" s="196" t="s">
        <v>199</v>
      </c>
      <c r="F182" s="197"/>
      <c r="G182" s="193"/>
      <c r="H182" s="193"/>
      <c r="I182" s="195"/>
      <c r="J182" s="195"/>
      <c r="K182" s="221"/>
      <c r="L182" s="195"/>
      <c r="M182" s="204"/>
      <c r="N182" s="195"/>
      <c r="O182" s="205"/>
      <c r="P182" s="195"/>
      <c r="Q182" s="227"/>
      <c r="R182" s="226"/>
      <c r="S182" s="227"/>
      <c r="T182" s="203"/>
      <c r="U182" s="183"/>
    </row>
    <row r="183" spans="3:21" s="172" customFormat="1" ht="20.25" customHeight="1">
      <c r="C183" s="185"/>
      <c r="D183" s="190">
        <f t="shared" si="24"/>
        <v>183</v>
      </c>
      <c r="E183" s="194" t="s">
        <v>200</v>
      </c>
      <c r="F183" s="198"/>
      <c r="G183" s="193" t="s">
        <v>201</v>
      </c>
      <c r="H183" s="193"/>
      <c r="I183" s="195"/>
      <c r="J183" s="195"/>
      <c r="K183" s="221">
        <v>19</v>
      </c>
      <c r="L183" s="195" t="s">
        <v>81</v>
      </c>
      <c r="M183" s="222">
        <f t="shared" ref="M183" si="39">K183</f>
        <v>19</v>
      </c>
      <c r="N183" s="195" t="s">
        <v>81</v>
      </c>
      <c r="O183" s="205">
        <v>1</v>
      </c>
      <c r="P183" s="195" t="s">
        <v>162</v>
      </c>
      <c r="Q183" s="227">
        <f t="shared" si="31"/>
        <v>19</v>
      </c>
      <c r="R183" s="226"/>
      <c r="S183" s="227">
        <f t="shared" si="32"/>
        <v>19</v>
      </c>
      <c r="T183" s="203" t="s">
        <v>48</v>
      </c>
      <c r="U183" s="183" t="str">
        <f t="shared" si="29"/>
        <v>19 Hrs</v>
      </c>
    </row>
    <row r="184" spans="3:21" s="172" customFormat="1" ht="20.25" customHeight="1">
      <c r="C184" s="185"/>
      <c r="D184" s="190">
        <f t="shared" si="24"/>
        <v>184</v>
      </c>
      <c r="E184" s="194" t="s">
        <v>202</v>
      </c>
      <c r="F184" s="198">
        <f t="shared" si="30"/>
        <v>183</v>
      </c>
      <c r="G184" s="193" t="s">
        <v>44</v>
      </c>
      <c r="H184" s="193"/>
      <c r="I184" s="195"/>
      <c r="J184" s="195" t="s">
        <v>203</v>
      </c>
      <c r="K184" s="221">
        <v>3</v>
      </c>
      <c r="L184" s="195" t="s">
        <v>81</v>
      </c>
      <c r="M184" s="222">
        <v>3</v>
      </c>
      <c r="N184" s="195" t="s">
        <v>81</v>
      </c>
      <c r="O184" s="205">
        <v>2</v>
      </c>
      <c r="P184" s="195" t="s">
        <v>162</v>
      </c>
      <c r="Q184" s="227">
        <f t="shared" si="31"/>
        <v>6</v>
      </c>
      <c r="R184" s="226"/>
      <c r="S184" s="227">
        <f t="shared" si="32"/>
        <v>6</v>
      </c>
      <c r="T184" s="203" t="s">
        <v>48</v>
      </c>
      <c r="U184" s="183" t="str">
        <f t="shared" si="29"/>
        <v>6 Hrs</v>
      </c>
    </row>
    <row r="185" spans="3:21" s="172" customFormat="1" ht="20.25" customHeight="1">
      <c r="C185" s="185">
        <f>D185</f>
        <v>185</v>
      </c>
      <c r="D185" s="190">
        <f t="shared" si="24"/>
        <v>185</v>
      </c>
      <c r="E185" s="196" t="s">
        <v>204</v>
      </c>
      <c r="F185" s="197">
        <f>D182</f>
        <v>182</v>
      </c>
      <c r="G185" s="193"/>
      <c r="H185" s="193"/>
      <c r="I185" s="195"/>
      <c r="J185" s="195"/>
      <c r="K185" s="221"/>
      <c r="L185" s="195"/>
      <c r="M185" s="204"/>
      <c r="N185" s="195"/>
      <c r="O185" s="205"/>
      <c r="P185" s="195"/>
      <c r="Q185" s="227"/>
      <c r="R185" s="226"/>
      <c r="S185" s="227"/>
      <c r="T185" s="203"/>
      <c r="U185" s="183"/>
    </row>
    <row r="186" spans="3:21" s="172" customFormat="1" ht="20.25" customHeight="1">
      <c r="C186" s="185"/>
      <c r="D186" s="190">
        <f t="shared" si="24"/>
        <v>186</v>
      </c>
      <c r="E186" s="194" t="s">
        <v>204</v>
      </c>
      <c r="F186" s="198">
        <f t="shared" si="30"/>
        <v>185</v>
      </c>
      <c r="G186" s="193" t="s">
        <v>55</v>
      </c>
      <c r="H186" s="193"/>
      <c r="I186" s="211" t="s">
        <v>205</v>
      </c>
      <c r="J186" s="195"/>
      <c r="K186" s="221">
        <v>3</v>
      </c>
      <c r="L186" s="195" t="s">
        <v>206</v>
      </c>
      <c r="M186" s="204">
        <v>1</v>
      </c>
      <c r="N186" s="195" t="s">
        <v>84</v>
      </c>
      <c r="O186" s="205">
        <v>10</v>
      </c>
      <c r="P186" s="195" t="s">
        <v>41</v>
      </c>
      <c r="Q186" s="227">
        <f t="shared" si="31"/>
        <v>10</v>
      </c>
      <c r="R186" s="226"/>
      <c r="S186" s="227">
        <f t="shared" si="32"/>
        <v>10</v>
      </c>
      <c r="T186" s="203" t="s">
        <v>42</v>
      </c>
      <c r="U186" s="183" t="str">
        <f t="shared" si="29"/>
        <v>10 Days</v>
      </c>
    </row>
    <row r="187" spans="3:21" s="172" customFormat="1" ht="20.25" customHeight="1">
      <c r="C187" s="185">
        <f>D187</f>
        <v>187</v>
      </c>
      <c r="D187" s="190">
        <f t="shared" si="24"/>
        <v>187</v>
      </c>
      <c r="E187" s="196" t="s">
        <v>207</v>
      </c>
      <c r="F187" s="197">
        <f>D185</f>
        <v>185</v>
      </c>
      <c r="G187" s="193"/>
      <c r="H187" s="193"/>
      <c r="I187" s="195"/>
      <c r="J187" s="195"/>
      <c r="K187" s="221"/>
      <c r="L187" s="195"/>
      <c r="M187" s="204"/>
      <c r="N187" s="195"/>
      <c r="O187" s="205"/>
      <c r="P187" s="195"/>
      <c r="Q187" s="227"/>
      <c r="R187" s="226"/>
      <c r="S187" s="227"/>
      <c r="T187" s="203"/>
      <c r="U187" s="183"/>
    </row>
    <row r="188" spans="3:21" s="172" customFormat="1" ht="20.25" customHeight="1">
      <c r="C188" s="185"/>
      <c r="D188" s="190">
        <f t="shared" si="24"/>
        <v>188</v>
      </c>
      <c r="E188" s="194" t="s">
        <v>208</v>
      </c>
      <c r="F188" s="198"/>
      <c r="G188" s="193" t="s">
        <v>44</v>
      </c>
      <c r="H188" s="193"/>
      <c r="I188" s="195"/>
      <c r="J188" s="195"/>
      <c r="K188" s="221">
        <v>3</v>
      </c>
      <c r="L188" s="195" t="s">
        <v>206</v>
      </c>
      <c r="M188" s="204">
        <v>4</v>
      </c>
      <c r="N188" s="195" t="s">
        <v>206</v>
      </c>
      <c r="O188" s="205">
        <v>6</v>
      </c>
      <c r="P188" s="195" t="s">
        <v>48</v>
      </c>
      <c r="Q188" s="227">
        <f t="shared" si="31"/>
        <v>24</v>
      </c>
      <c r="R188" s="226"/>
      <c r="S188" s="227">
        <f t="shared" si="32"/>
        <v>24</v>
      </c>
      <c r="T188" s="230" t="s">
        <v>48</v>
      </c>
      <c r="U188" s="183" t="str">
        <f t="shared" si="29"/>
        <v>24 Hrs</v>
      </c>
    </row>
    <row r="189" spans="3:21" s="172" customFormat="1" ht="20.25" customHeight="1">
      <c r="C189" s="185"/>
      <c r="D189" s="190">
        <f t="shared" si="24"/>
        <v>189</v>
      </c>
      <c r="E189" s="194" t="s">
        <v>209</v>
      </c>
      <c r="F189" s="198">
        <f t="shared" si="30"/>
        <v>188</v>
      </c>
      <c r="G189" s="193" t="s">
        <v>63</v>
      </c>
      <c r="H189" s="193"/>
      <c r="I189" s="195"/>
      <c r="J189" s="195"/>
      <c r="K189" s="221">
        <v>9</v>
      </c>
      <c r="L189" s="195" t="s">
        <v>81</v>
      </c>
      <c r="M189" s="226">
        <f>1308*9*2</f>
        <v>23544</v>
      </c>
      <c r="N189" s="195" t="s">
        <v>210</v>
      </c>
      <c r="O189" s="233">
        <f>1/100</f>
        <v>0.01</v>
      </c>
      <c r="P189" s="195"/>
      <c r="Q189" s="227">
        <f t="shared" si="31"/>
        <v>235.44</v>
      </c>
      <c r="R189" s="226"/>
      <c r="S189" s="227">
        <f t="shared" si="32"/>
        <v>235.44</v>
      </c>
      <c r="T189" s="203" t="s">
        <v>42</v>
      </c>
      <c r="U189" s="183" t="str">
        <f t="shared" si="29"/>
        <v>235.44 Days</v>
      </c>
    </row>
    <row r="190" spans="3:21" s="172" customFormat="1" ht="20.25" customHeight="1">
      <c r="C190" s="185">
        <f>D190</f>
        <v>190</v>
      </c>
      <c r="D190" s="190">
        <f t="shared" si="24"/>
        <v>190</v>
      </c>
      <c r="E190" s="196" t="s">
        <v>211</v>
      </c>
      <c r="F190" s="197">
        <f>D187</f>
        <v>187</v>
      </c>
      <c r="G190" s="193"/>
      <c r="H190" s="193"/>
      <c r="I190" s="195"/>
      <c r="J190" s="195"/>
      <c r="K190" s="221"/>
      <c r="L190" s="195"/>
      <c r="M190" s="204"/>
      <c r="N190" s="195"/>
      <c r="O190" s="205"/>
      <c r="P190" s="195"/>
      <c r="Q190" s="227"/>
      <c r="R190" s="226"/>
      <c r="S190" s="227"/>
      <c r="T190" s="203"/>
      <c r="U190" s="183"/>
    </row>
    <row r="191" spans="3:21" s="172" customFormat="1" ht="20.25" customHeight="1">
      <c r="C191" s="185"/>
      <c r="D191" s="190">
        <f t="shared" si="24"/>
        <v>191</v>
      </c>
      <c r="E191" s="194" t="s">
        <v>212</v>
      </c>
      <c r="F191" s="198"/>
      <c r="G191" s="193" t="s">
        <v>44</v>
      </c>
      <c r="H191" s="193"/>
      <c r="I191" s="195"/>
      <c r="J191" s="195"/>
      <c r="K191" s="221">
        <v>3</v>
      </c>
      <c r="L191" s="195" t="s">
        <v>81</v>
      </c>
      <c r="M191" s="222">
        <f t="shared" ref="M191" si="40">K191</f>
        <v>3</v>
      </c>
      <c r="N191" s="195" t="s">
        <v>81</v>
      </c>
      <c r="O191" s="205">
        <v>0.25</v>
      </c>
      <c r="P191" s="195" t="s">
        <v>162</v>
      </c>
      <c r="Q191" s="227">
        <f t="shared" si="31"/>
        <v>0.75</v>
      </c>
      <c r="R191" s="226"/>
      <c r="S191" s="227">
        <f t="shared" si="32"/>
        <v>0.75</v>
      </c>
      <c r="T191" s="203" t="s">
        <v>48</v>
      </c>
      <c r="U191" s="183" t="str">
        <f t="shared" si="29"/>
        <v>0.75 Hrs</v>
      </c>
    </row>
    <row r="192" spans="3:21" s="172" customFormat="1" ht="20.25" customHeight="1">
      <c r="C192" s="185"/>
      <c r="D192" s="190">
        <f t="shared" si="24"/>
        <v>192</v>
      </c>
      <c r="E192" s="194" t="s">
        <v>213</v>
      </c>
      <c r="F192" s="198">
        <f t="shared" si="30"/>
        <v>191</v>
      </c>
      <c r="G192" s="193" t="s">
        <v>44</v>
      </c>
      <c r="H192" s="193"/>
      <c r="I192" s="195"/>
      <c r="J192" s="195"/>
      <c r="K192" s="221">
        <v>3</v>
      </c>
      <c r="L192" s="195" t="s">
        <v>81</v>
      </c>
      <c r="M192" s="204">
        <v>1</v>
      </c>
      <c r="N192" s="195" t="s">
        <v>160</v>
      </c>
      <c r="O192" s="205">
        <v>1</v>
      </c>
      <c r="P192" s="195" t="s">
        <v>48</v>
      </c>
      <c r="Q192" s="227">
        <f t="shared" si="31"/>
        <v>1</v>
      </c>
      <c r="R192" s="226"/>
      <c r="S192" s="227">
        <f t="shared" si="32"/>
        <v>1</v>
      </c>
      <c r="T192" s="203" t="s">
        <v>48</v>
      </c>
      <c r="U192" s="183" t="str">
        <f t="shared" si="29"/>
        <v>1 Hrs</v>
      </c>
    </row>
    <row r="193" spans="3:21" s="172" customFormat="1" ht="20.25" customHeight="1">
      <c r="C193" s="185"/>
      <c r="D193" s="190">
        <f t="shared" si="24"/>
        <v>193</v>
      </c>
      <c r="E193" s="194" t="s">
        <v>214</v>
      </c>
      <c r="F193" s="198">
        <f t="shared" si="30"/>
        <v>192</v>
      </c>
      <c r="G193" s="193" t="s">
        <v>55</v>
      </c>
      <c r="H193" s="193"/>
      <c r="I193" s="195"/>
      <c r="J193" s="195"/>
      <c r="K193" s="221">
        <v>3</v>
      </c>
      <c r="L193" s="195" t="s">
        <v>81</v>
      </c>
      <c r="M193" s="204">
        <v>1</v>
      </c>
      <c r="N193" s="195" t="s">
        <v>160</v>
      </c>
      <c r="O193" s="205">
        <v>5</v>
      </c>
      <c r="P193" s="195" t="s">
        <v>41</v>
      </c>
      <c r="Q193" s="227">
        <f t="shared" si="31"/>
        <v>5</v>
      </c>
      <c r="R193" s="226"/>
      <c r="S193" s="227">
        <f t="shared" si="32"/>
        <v>5</v>
      </c>
      <c r="T193" s="203" t="s">
        <v>42</v>
      </c>
      <c r="U193" s="183" t="str">
        <f t="shared" si="29"/>
        <v>5 Days</v>
      </c>
    </row>
    <row r="194" spans="3:21" s="172" customFormat="1" ht="20.25" customHeight="1">
      <c r="C194" s="185"/>
      <c r="D194" s="190">
        <f t="shared" si="24"/>
        <v>194</v>
      </c>
      <c r="E194" s="194" t="s">
        <v>215</v>
      </c>
      <c r="F194" s="198">
        <f t="shared" si="30"/>
        <v>193</v>
      </c>
      <c r="G194" s="193" t="s">
        <v>55</v>
      </c>
      <c r="H194" s="193"/>
      <c r="I194" s="195"/>
      <c r="J194" s="195"/>
      <c r="K194" s="221">
        <v>3</v>
      </c>
      <c r="L194" s="195" t="s">
        <v>81</v>
      </c>
      <c r="M194" s="204">
        <v>1</v>
      </c>
      <c r="N194" s="195" t="s">
        <v>160</v>
      </c>
      <c r="O194" s="205">
        <v>5</v>
      </c>
      <c r="P194" s="195" t="s">
        <v>41</v>
      </c>
      <c r="Q194" s="227">
        <f t="shared" si="31"/>
        <v>5</v>
      </c>
      <c r="R194" s="226"/>
      <c r="S194" s="227">
        <f t="shared" si="32"/>
        <v>5</v>
      </c>
      <c r="T194" s="203" t="s">
        <v>42</v>
      </c>
      <c r="U194" s="183" t="str">
        <f t="shared" si="29"/>
        <v>5 Days</v>
      </c>
    </row>
    <row r="195" spans="3:21" s="172" customFormat="1" ht="20.25" customHeight="1">
      <c r="C195" s="185"/>
      <c r="D195" s="190">
        <f t="shared" ref="D195:D258" si="41">D194+1</f>
        <v>195</v>
      </c>
      <c r="E195" s="194" t="s">
        <v>216</v>
      </c>
      <c r="F195" s="198">
        <f t="shared" si="30"/>
        <v>194</v>
      </c>
      <c r="G195" s="193" t="s">
        <v>217</v>
      </c>
      <c r="H195" s="193"/>
      <c r="I195" s="195"/>
      <c r="J195" s="195"/>
      <c r="K195" s="221">
        <v>3</v>
      </c>
      <c r="L195" s="195" t="s">
        <v>81</v>
      </c>
      <c r="M195" s="204">
        <v>1</v>
      </c>
      <c r="N195" s="195" t="s">
        <v>160</v>
      </c>
      <c r="O195" s="205">
        <v>1</v>
      </c>
      <c r="P195" s="195" t="s">
        <v>41</v>
      </c>
      <c r="Q195" s="227">
        <f t="shared" si="31"/>
        <v>1</v>
      </c>
      <c r="R195" s="226"/>
      <c r="S195" s="227">
        <f t="shared" si="32"/>
        <v>1</v>
      </c>
      <c r="T195" s="203" t="s">
        <v>42</v>
      </c>
      <c r="U195" s="183" t="str">
        <f t="shared" si="29"/>
        <v>1 Days</v>
      </c>
    </row>
    <row r="196" spans="3:21" s="172" customFormat="1" ht="20.25" customHeight="1">
      <c r="C196" s="185">
        <f>D196</f>
        <v>196</v>
      </c>
      <c r="D196" s="190">
        <f t="shared" si="41"/>
        <v>196</v>
      </c>
      <c r="E196" s="196" t="s">
        <v>218</v>
      </c>
      <c r="F196" s="197">
        <f>D190</f>
        <v>190</v>
      </c>
      <c r="G196" s="193"/>
      <c r="H196" s="193"/>
      <c r="I196" s="195"/>
      <c r="J196" s="195"/>
      <c r="K196" s="221"/>
      <c r="L196" s="195"/>
      <c r="M196" s="204"/>
      <c r="N196" s="195"/>
      <c r="O196" s="205"/>
      <c r="P196" s="195"/>
      <c r="Q196" s="227"/>
      <c r="R196" s="226"/>
      <c r="S196" s="227"/>
      <c r="T196" s="203"/>
      <c r="U196" s="183"/>
    </row>
    <row r="197" spans="3:21" s="172" customFormat="1" ht="20.25" customHeight="1">
      <c r="C197" s="185"/>
      <c r="D197" s="190">
        <f t="shared" si="41"/>
        <v>197</v>
      </c>
      <c r="E197" s="194" t="s">
        <v>219</v>
      </c>
      <c r="F197" s="198"/>
      <c r="G197" s="193"/>
      <c r="H197" s="193"/>
      <c r="I197" s="195"/>
      <c r="J197" s="195"/>
      <c r="K197" s="221">
        <v>2</v>
      </c>
      <c r="L197" s="195" t="s">
        <v>81</v>
      </c>
      <c r="M197" s="222">
        <v>1</v>
      </c>
      <c r="N197" s="195" t="s">
        <v>84</v>
      </c>
      <c r="O197" s="205">
        <v>4</v>
      </c>
      <c r="P197" s="195" t="s">
        <v>41</v>
      </c>
      <c r="Q197" s="227">
        <f t="shared" si="31"/>
        <v>4</v>
      </c>
      <c r="R197" s="226"/>
      <c r="S197" s="227">
        <f t="shared" si="32"/>
        <v>4</v>
      </c>
      <c r="T197" s="203" t="s">
        <v>42</v>
      </c>
      <c r="U197" s="183" t="str">
        <f t="shared" si="29"/>
        <v>4 Days</v>
      </c>
    </row>
    <row r="198" spans="3:21" s="172" customFormat="1" ht="20.25" customHeight="1">
      <c r="C198" s="185"/>
      <c r="D198" s="190">
        <f t="shared" si="41"/>
        <v>198</v>
      </c>
      <c r="E198" s="194" t="s">
        <v>220</v>
      </c>
      <c r="F198" s="198">
        <f t="shared" si="30"/>
        <v>197</v>
      </c>
      <c r="G198" s="193" t="s">
        <v>55</v>
      </c>
      <c r="H198" s="193"/>
      <c r="I198" s="211">
        <v>20</v>
      </c>
      <c r="J198" s="195"/>
      <c r="K198" s="221">
        <v>2</v>
      </c>
      <c r="L198" s="195" t="s">
        <v>81</v>
      </c>
      <c r="M198" s="204">
        <v>1</v>
      </c>
      <c r="N198" s="195" t="s">
        <v>84</v>
      </c>
      <c r="O198" s="205">
        <v>1</v>
      </c>
      <c r="P198" s="195" t="s">
        <v>41</v>
      </c>
      <c r="Q198" s="227">
        <f t="shared" si="31"/>
        <v>1</v>
      </c>
      <c r="R198" s="226"/>
      <c r="S198" s="227">
        <f t="shared" si="32"/>
        <v>1</v>
      </c>
      <c r="T198" s="203" t="s">
        <v>42</v>
      </c>
      <c r="U198" s="183" t="str">
        <f t="shared" si="29"/>
        <v>1 Days</v>
      </c>
    </row>
    <row r="199" spans="3:21" s="172" customFormat="1" ht="20.25" customHeight="1">
      <c r="C199" s="185"/>
      <c r="D199" s="190">
        <f t="shared" si="41"/>
        <v>199</v>
      </c>
      <c r="E199" s="194" t="s">
        <v>221</v>
      </c>
      <c r="F199" s="198">
        <f t="shared" si="30"/>
        <v>198</v>
      </c>
      <c r="G199" s="193" t="s">
        <v>55</v>
      </c>
      <c r="H199" s="193"/>
      <c r="I199" s="195"/>
      <c r="J199" s="195"/>
      <c r="K199" s="221">
        <v>2</v>
      </c>
      <c r="L199" s="195" t="s">
        <v>81</v>
      </c>
      <c r="M199" s="204">
        <v>1</v>
      </c>
      <c r="N199" s="195" t="s">
        <v>84</v>
      </c>
      <c r="O199" s="205">
        <v>5</v>
      </c>
      <c r="P199" s="195" t="s">
        <v>41</v>
      </c>
      <c r="Q199" s="227">
        <f t="shared" si="31"/>
        <v>5</v>
      </c>
      <c r="R199" s="226"/>
      <c r="S199" s="227">
        <f t="shared" si="32"/>
        <v>5</v>
      </c>
      <c r="T199" s="203" t="s">
        <v>42</v>
      </c>
      <c r="U199" s="183" t="str">
        <f t="shared" si="29"/>
        <v>5 Days</v>
      </c>
    </row>
    <row r="200" spans="3:21" s="172" customFormat="1" ht="20.25" customHeight="1">
      <c r="C200" s="185">
        <f>D200</f>
        <v>200</v>
      </c>
      <c r="D200" s="190">
        <f t="shared" si="41"/>
        <v>200</v>
      </c>
      <c r="E200" s="196" t="s">
        <v>222</v>
      </c>
      <c r="F200" s="197">
        <f>D196</f>
        <v>196</v>
      </c>
      <c r="G200" s="193"/>
      <c r="H200" s="193"/>
      <c r="I200" s="195"/>
      <c r="J200" s="195"/>
      <c r="K200" s="221"/>
      <c r="L200" s="195"/>
      <c r="M200" s="204"/>
      <c r="N200" s="195"/>
      <c r="O200" s="205"/>
      <c r="P200" s="195"/>
      <c r="Q200" s="227"/>
      <c r="R200" s="226"/>
      <c r="S200" s="227"/>
      <c r="T200" s="203"/>
      <c r="U200" s="183"/>
    </row>
    <row r="201" spans="3:21" s="172" customFormat="1" ht="20.25" customHeight="1">
      <c r="C201" s="185"/>
      <c r="D201" s="190">
        <f t="shared" si="41"/>
        <v>201</v>
      </c>
      <c r="E201" s="194" t="s">
        <v>223</v>
      </c>
      <c r="F201" s="198"/>
      <c r="G201" s="193" t="s">
        <v>224</v>
      </c>
      <c r="H201" s="193"/>
      <c r="I201" s="195"/>
      <c r="J201" s="195"/>
      <c r="K201" s="221">
        <v>2</v>
      </c>
      <c r="L201" s="195" t="s">
        <v>81</v>
      </c>
      <c r="M201" s="222">
        <f t="shared" ref="M201:M202" si="42">K201</f>
        <v>2</v>
      </c>
      <c r="N201" s="195" t="s">
        <v>81</v>
      </c>
      <c r="O201" s="205">
        <v>2</v>
      </c>
      <c r="P201" s="195" t="s">
        <v>162</v>
      </c>
      <c r="Q201" s="227">
        <f t="shared" si="31"/>
        <v>4</v>
      </c>
      <c r="R201" s="226"/>
      <c r="S201" s="227">
        <f t="shared" si="32"/>
        <v>4</v>
      </c>
      <c r="T201" s="230" t="s">
        <v>48</v>
      </c>
      <c r="U201" s="183" t="str">
        <f t="shared" si="29"/>
        <v>4 Hrs</v>
      </c>
    </row>
    <row r="202" spans="3:21" s="172" customFormat="1" ht="20.25" customHeight="1">
      <c r="C202" s="185"/>
      <c r="D202" s="190">
        <f t="shared" si="41"/>
        <v>202</v>
      </c>
      <c r="E202" s="194" t="s">
        <v>225</v>
      </c>
      <c r="F202" s="198">
        <f t="shared" si="30"/>
        <v>201</v>
      </c>
      <c r="G202" s="193" t="s">
        <v>44</v>
      </c>
      <c r="H202" s="193"/>
      <c r="I202" s="195"/>
      <c r="J202" s="195"/>
      <c r="K202" s="221">
        <v>2</v>
      </c>
      <c r="L202" s="195" t="s">
        <v>81</v>
      </c>
      <c r="M202" s="222">
        <f t="shared" si="42"/>
        <v>2</v>
      </c>
      <c r="N202" s="195" t="s">
        <v>81</v>
      </c>
      <c r="O202" s="205">
        <v>0.5</v>
      </c>
      <c r="P202" s="195" t="s">
        <v>162</v>
      </c>
      <c r="Q202" s="227">
        <f t="shared" si="31"/>
        <v>1</v>
      </c>
      <c r="R202" s="226"/>
      <c r="S202" s="227">
        <f t="shared" si="32"/>
        <v>1</v>
      </c>
      <c r="T202" s="230" t="s">
        <v>48</v>
      </c>
      <c r="U202" s="183" t="str">
        <f t="shared" si="29"/>
        <v>1 Hrs</v>
      </c>
    </row>
    <row r="203" spans="3:21" s="172" customFormat="1" ht="20.25" customHeight="1">
      <c r="C203" s="185">
        <f>D203</f>
        <v>203</v>
      </c>
      <c r="D203" s="190">
        <f t="shared" si="41"/>
        <v>203</v>
      </c>
      <c r="E203" s="196" t="s">
        <v>226</v>
      </c>
      <c r="F203" s="197">
        <f>D200</f>
        <v>200</v>
      </c>
      <c r="G203" s="193"/>
      <c r="H203" s="193"/>
      <c r="I203" s="195"/>
      <c r="J203" s="195"/>
      <c r="K203" s="221"/>
      <c r="L203" s="195"/>
      <c r="M203" s="204"/>
      <c r="N203" s="195"/>
      <c r="O203" s="205"/>
      <c r="P203" s="195"/>
      <c r="Q203" s="227"/>
      <c r="R203" s="226"/>
      <c r="S203" s="227"/>
      <c r="T203" s="203"/>
      <c r="U203" s="183"/>
    </row>
    <row r="204" spans="3:21" s="172" customFormat="1" ht="20.25" customHeight="1">
      <c r="C204" s="185"/>
      <c r="D204" s="190">
        <f t="shared" si="41"/>
        <v>204</v>
      </c>
      <c r="E204" s="194" t="s">
        <v>227</v>
      </c>
      <c r="F204" s="198">
        <f t="shared" si="30"/>
        <v>203</v>
      </c>
      <c r="G204" s="193" t="s">
        <v>55</v>
      </c>
      <c r="H204" s="193"/>
      <c r="I204" s="211" t="s">
        <v>228</v>
      </c>
      <c r="J204" s="195"/>
      <c r="K204" s="221">
        <v>1</v>
      </c>
      <c r="L204" s="195" t="s">
        <v>206</v>
      </c>
      <c r="M204" s="204">
        <v>1</v>
      </c>
      <c r="N204" s="195" t="s">
        <v>84</v>
      </c>
      <c r="O204" s="205">
        <v>10</v>
      </c>
      <c r="P204" s="195" t="s">
        <v>41</v>
      </c>
      <c r="Q204" s="227">
        <f t="shared" si="31"/>
        <v>10</v>
      </c>
      <c r="R204" s="226"/>
      <c r="S204" s="227">
        <f t="shared" si="32"/>
        <v>10</v>
      </c>
      <c r="T204" s="203"/>
      <c r="U204" s="183" t="str">
        <f t="shared" si="29"/>
        <v xml:space="preserve">10 </v>
      </c>
    </row>
    <row r="205" spans="3:21" s="172" customFormat="1" ht="20.25" customHeight="1">
      <c r="C205" s="185">
        <f>D205</f>
        <v>205</v>
      </c>
      <c r="D205" s="190">
        <f t="shared" si="41"/>
        <v>205</v>
      </c>
      <c r="E205" s="196" t="s">
        <v>229</v>
      </c>
      <c r="F205" s="197">
        <f>D203</f>
        <v>203</v>
      </c>
      <c r="G205" s="193"/>
      <c r="H205" s="193"/>
      <c r="I205" s="195"/>
      <c r="J205" s="195"/>
      <c r="K205" s="221"/>
      <c r="L205" s="195"/>
      <c r="M205" s="204"/>
      <c r="N205" s="195"/>
      <c r="O205" s="205"/>
      <c r="P205" s="195"/>
      <c r="Q205" s="227"/>
      <c r="R205" s="226"/>
      <c r="S205" s="227"/>
      <c r="T205" s="203"/>
      <c r="U205" s="183"/>
    </row>
    <row r="206" spans="3:21" s="172" customFormat="1" ht="20.25" customHeight="1">
      <c r="C206" s="185"/>
      <c r="D206" s="190">
        <f t="shared" si="41"/>
        <v>206</v>
      </c>
      <c r="E206" s="194" t="s">
        <v>230</v>
      </c>
      <c r="F206" s="198"/>
      <c r="G206" s="193" t="s">
        <v>44</v>
      </c>
      <c r="H206" s="193"/>
      <c r="I206" s="195"/>
      <c r="J206" s="195"/>
      <c r="K206" s="221">
        <v>1</v>
      </c>
      <c r="L206" s="195" t="s">
        <v>206</v>
      </c>
      <c r="M206" s="204">
        <v>1</v>
      </c>
      <c r="N206" s="195" t="s">
        <v>206</v>
      </c>
      <c r="O206" s="205">
        <v>3</v>
      </c>
      <c r="P206" s="195" t="s">
        <v>48</v>
      </c>
      <c r="Q206" s="227">
        <f t="shared" si="31"/>
        <v>3</v>
      </c>
      <c r="R206" s="226"/>
      <c r="S206" s="227">
        <f t="shared" si="32"/>
        <v>3</v>
      </c>
      <c r="T206" s="203" t="s">
        <v>48</v>
      </c>
      <c r="U206" s="183" t="str">
        <f t="shared" si="29"/>
        <v>3 Hrs</v>
      </c>
    </row>
    <row r="207" spans="3:21" s="172" customFormat="1" ht="20.25" customHeight="1">
      <c r="C207" s="185"/>
      <c r="D207" s="190">
        <f t="shared" si="41"/>
        <v>207</v>
      </c>
      <c r="E207" s="194" t="s">
        <v>231</v>
      </c>
      <c r="F207" s="198">
        <f t="shared" si="30"/>
        <v>206</v>
      </c>
      <c r="G207" s="193" t="s">
        <v>63</v>
      </c>
      <c r="H207" s="193"/>
      <c r="I207" s="195"/>
      <c r="J207" s="195"/>
      <c r="K207" s="221">
        <v>2</v>
      </c>
      <c r="L207" s="195" t="s">
        <v>232</v>
      </c>
      <c r="M207" s="222">
        <f>1308*2*1</f>
        <v>2616</v>
      </c>
      <c r="N207" s="195" t="s">
        <v>210</v>
      </c>
      <c r="O207" s="233">
        <f>1/100</f>
        <v>0.01</v>
      </c>
      <c r="P207" s="195"/>
      <c r="Q207" s="227">
        <f t="shared" si="31"/>
        <v>26.16</v>
      </c>
      <c r="R207" s="226"/>
      <c r="S207" s="227">
        <f t="shared" si="32"/>
        <v>26.16</v>
      </c>
      <c r="T207" s="203"/>
      <c r="U207" s="183" t="str">
        <f t="shared" si="29"/>
        <v xml:space="preserve">26.16 </v>
      </c>
    </row>
    <row r="208" spans="3:21" s="172" customFormat="1" ht="20.25" customHeight="1">
      <c r="C208" s="185">
        <f>D208</f>
        <v>208</v>
      </c>
      <c r="D208" s="190">
        <f t="shared" si="41"/>
        <v>208</v>
      </c>
      <c r="E208" s="196" t="s">
        <v>233</v>
      </c>
      <c r="F208" s="197">
        <f>D22</f>
        <v>22</v>
      </c>
      <c r="G208" s="193"/>
      <c r="H208" s="193"/>
      <c r="I208" s="195"/>
      <c r="J208" s="195"/>
      <c r="K208" s="221"/>
      <c r="L208" s="195"/>
      <c r="M208" s="204"/>
      <c r="N208" s="195"/>
      <c r="O208" s="205"/>
      <c r="P208" s="195"/>
      <c r="Q208" s="227"/>
      <c r="R208" s="226"/>
      <c r="S208" s="227"/>
      <c r="T208" s="203"/>
      <c r="U208" s="183"/>
    </row>
    <row r="209" spans="3:21" s="172" customFormat="1" ht="20.25" customHeight="1">
      <c r="C209" s="185"/>
      <c r="D209" s="190">
        <f t="shared" si="41"/>
        <v>209</v>
      </c>
      <c r="E209" s="194" t="s">
        <v>234</v>
      </c>
      <c r="F209" s="198"/>
      <c r="G209" s="193"/>
      <c r="H209" s="193"/>
      <c r="I209" s="195"/>
      <c r="J209" s="195"/>
      <c r="K209" s="221">
        <v>1</v>
      </c>
      <c r="L209" s="195" t="s">
        <v>81</v>
      </c>
      <c r="M209" s="222">
        <f t="shared" ref="M209:M212" si="43">K209</f>
        <v>1</v>
      </c>
      <c r="N209" s="195" t="s">
        <v>84</v>
      </c>
      <c r="O209" s="205">
        <v>4</v>
      </c>
      <c r="P209" s="195" t="s">
        <v>41</v>
      </c>
      <c r="Q209" s="227">
        <f t="shared" si="31"/>
        <v>4</v>
      </c>
      <c r="R209" s="226"/>
      <c r="S209" s="227">
        <f t="shared" si="32"/>
        <v>4</v>
      </c>
      <c r="T209" s="203" t="s">
        <v>42</v>
      </c>
      <c r="U209" s="183" t="str">
        <f t="shared" si="29"/>
        <v>4 Days</v>
      </c>
    </row>
    <row r="210" spans="3:21" s="172" customFormat="1" ht="20.25" customHeight="1">
      <c r="C210" s="185"/>
      <c r="D210" s="190">
        <f t="shared" si="41"/>
        <v>210</v>
      </c>
      <c r="E210" s="194" t="s">
        <v>235</v>
      </c>
      <c r="F210" s="198">
        <f t="shared" si="30"/>
        <v>209</v>
      </c>
      <c r="G210" s="193" t="s">
        <v>44</v>
      </c>
      <c r="H210" s="193"/>
      <c r="I210" s="195"/>
      <c r="J210" s="195"/>
      <c r="K210" s="221">
        <v>22</v>
      </c>
      <c r="L210" s="195" t="s">
        <v>81</v>
      </c>
      <c r="M210" s="204">
        <f t="shared" si="43"/>
        <v>22</v>
      </c>
      <c r="N210" s="195" t="s">
        <v>236</v>
      </c>
      <c r="O210" s="205">
        <v>0.25</v>
      </c>
      <c r="P210" s="195" t="s">
        <v>162</v>
      </c>
      <c r="Q210" s="227">
        <f t="shared" si="31"/>
        <v>5.5</v>
      </c>
      <c r="R210" s="226"/>
      <c r="S210" s="227">
        <f t="shared" si="32"/>
        <v>5.5</v>
      </c>
      <c r="T210" s="203" t="s">
        <v>48</v>
      </c>
      <c r="U210" s="183" t="str">
        <f t="shared" si="29"/>
        <v>5.5 Hrs</v>
      </c>
    </row>
    <row r="211" spans="3:21" s="172" customFormat="1" ht="20.25" customHeight="1">
      <c r="C211" s="185"/>
      <c r="D211" s="190">
        <f t="shared" si="41"/>
        <v>211</v>
      </c>
      <c r="E211" s="194" t="s">
        <v>237</v>
      </c>
      <c r="F211" s="198">
        <f t="shared" si="30"/>
        <v>210</v>
      </c>
      <c r="G211" s="193" t="s">
        <v>238</v>
      </c>
      <c r="H211" s="193"/>
      <c r="I211" s="195"/>
      <c r="J211" s="195"/>
      <c r="K211" s="221">
        <v>22</v>
      </c>
      <c r="L211" s="195" t="s">
        <v>81</v>
      </c>
      <c r="M211" s="204">
        <f t="shared" si="43"/>
        <v>22</v>
      </c>
      <c r="N211" s="195" t="s">
        <v>81</v>
      </c>
      <c r="O211" s="205">
        <v>0.45</v>
      </c>
      <c r="P211" s="195" t="s">
        <v>162</v>
      </c>
      <c r="Q211" s="227">
        <f t="shared" si="31"/>
        <v>9.9</v>
      </c>
      <c r="R211" s="226"/>
      <c r="S211" s="227">
        <f t="shared" si="32"/>
        <v>9.9</v>
      </c>
      <c r="T211" s="203" t="s">
        <v>48</v>
      </c>
      <c r="U211" s="183" t="str">
        <f t="shared" si="29"/>
        <v>9.9 Hrs</v>
      </c>
    </row>
    <row r="212" spans="3:21" s="172" customFormat="1" ht="20.25" customHeight="1">
      <c r="C212" s="185"/>
      <c r="D212" s="190">
        <f t="shared" si="41"/>
        <v>212</v>
      </c>
      <c r="E212" s="194" t="s">
        <v>239</v>
      </c>
      <c r="F212" s="198">
        <f t="shared" si="30"/>
        <v>211</v>
      </c>
      <c r="G212" s="193" t="s">
        <v>240</v>
      </c>
      <c r="H212" s="193"/>
      <c r="I212" s="195"/>
      <c r="J212" s="195"/>
      <c r="K212" s="221">
        <v>22</v>
      </c>
      <c r="L212" s="195" t="s">
        <v>81</v>
      </c>
      <c r="M212" s="204">
        <f t="shared" si="43"/>
        <v>22</v>
      </c>
      <c r="N212" s="195" t="s">
        <v>81</v>
      </c>
      <c r="O212" s="205">
        <v>0.5</v>
      </c>
      <c r="P212" s="195" t="s">
        <v>162</v>
      </c>
      <c r="Q212" s="227">
        <f t="shared" si="31"/>
        <v>11</v>
      </c>
      <c r="R212" s="226"/>
      <c r="S212" s="227">
        <f t="shared" si="32"/>
        <v>11</v>
      </c>
      <c r="T212" s="203" t="s">
        <v>48</v>
      </c>
      <c r="U212" s="183" t="str">
        <f t="shared" si="29"/>
        <v>11 Hrs</v>
      </c>
    </row>
    <row r="213" spans="3:21" s="172" customFormat="1" ht="20.25" customHeight="1">
      <c r="C213" s="185">
        <f>D213</f>
        <v>213</v>
      </c>
      <c r="D213" s="190">
        <f t="shared" si="41"/>
        <v>213</v>
      </c>
      <c r="E213" s="196" t="s">
        <v>241</v>
      </c>
      <c r="F213" s="197">
        <f>D21</f>
        <v>21</v>
      </c>
      <c r="G213" s="193"/>
      <c r="H213" s="193"/>
      <c r="I213" s="195"/>
      <c r="J213" s="195"/>
      <c r="K213" s="221"/>
      <c r="L213" s="195"/>
      <c r="M213" s="204"/>
      <c r="N213" s="195"/>
      <c r="O213" s="205"/>
      <c r="P213" s="195"/>
      <c r="Q213" s="227"/>
      <c r="R213" s="226"/>
      <c r="S213" s="227"/>
      <c r="T213" s="203"/>
      <c r="U213" s="183"/>
    </row>
    <row r="214" spans="3:21" s="172" customFormat="1" ht="20.25" customHeight="1">
      <c r="C214" s="185"/>
      <c r="D214" s="190">
        <f t="shared" si="41"/>
        <v>214</v>
      </c>
      <c r="E214" s="194" t="s">
        <v>242</v>
      </c>
      <c r="F214" s="198"/>
      <c r="G214" s="193"/>
      <c r="H214" s="193"/>
      <c r="I214" s="195"/>
      <c r="J214" s="195"/>
      <c r="K214" s="221">
        <v>1</v>
      </c>
      <c r="L214" s="195" t="s">
        <v>81</v>
      </c>
      <c r="M214" s="222">
        <f t="shared" ref="M214:M217" si="44">K214</f>
        <v>1</v>
      </c>
      <c r="N214" s="195" t="s">
        <v>84</v>
      </c>
      <c r="O214" s="205">
        <v>4</v>
      </c>
      <c r="P214" s="195" t="s">
        <v>41</v>
      </c>
      <c r="Q214" s="227">
        <f t="shared" si="31"/>
        <v>4</v>
      </c>
      <c r="R214" s="226"/>
      <c r="S214" s="227">
        <f t="shared" si="32"/>
        <v>4</v>
      </c>
      <c r="T214" s="203" t="s">
        <v>48</v>
      </c>
      <c r="U214" s="183" t="str">
        <f t="shared" si="29"/>
        <v>4 Hrs</v>
      </c>
    </row>
    <row r="215" spans="3:21" s="172" customFormat="1" ht="20.25" customHeight="1">
      <c r="C215" s="185"/>
      <c r="D215" s="190">
        <f t="shared" si="41"/>
        <v>215</v>
      </c>
      <c r="E215" s="194" t="s">
        <v>243</v>
      </c>
      <c r="F215" s="198">
        <f t="shared" si="30"/>
        <v>214</v>
      </c>
      <c r="G215" s="193" t="s">
        <v>44</v>
      </c>
      <c r="H215" s="193"/>
      <c r="I215" s="195"/>
      <c r="J215" s="195"/>
      <c r="K215" s="221">
        <v>414</v>
      </c>
      <c r="L215" s="195" t="s">
        <v>81</v>
      </c>
      <c r="M215" s="204">
        <f t="shared" si="44"/>
        <v>414</v>
      </c>
      <c r="N215" s="195" t="s">
        <v>236</v>
      </c>
      <c r="O215" s="205">
        <v>0.1</v>
      </c>
      <c r="P215" s="195" t="s">
        <v>162</v>
      </c>
      <c r="Q215" s="227">
        <f t="shared" si="31"/>
        <v>41.400000000000006</v>
      </c>
      <c r="R215" s="226"/>
      <c r="S215" s="227">
        <f t="shared" si="32"/>
        <v>41.4</v>
      </c>
      <c r="T215" s="203" t="s">
        <v>48</v>
      </c>
      <c r="U215" s="183" t="str">
        <f t="shared" si="29"/>
        <v>41.4 Hrs</v>
      </c>
    </row>
    <row r="216" spans="3:21" s="172" customFormat="1" ht="20.25" customHeight="1">
      <c r="C216" s="185"/>
      <c r="D216" s="190">
        <f t="shared" si="41"/>
        <v>216</v>
      </c>
      <c r="E216" s="194" t="s">
        <v>244</v>
      </c>
      <c r="F216" s="198">
        <f t="shared" si="30"/>
        <v>215</v>
      </c>
      <c r="G216" s="193" t="s">
        <v>238</v>
      </c>
      <c r="H216" s="193"/>
      <c r="I216" s="195"/>
      <c r="J216" s="195"/>
      <c r="K216" s="221">
        <v>414</v>
      </c>
      <c r="L216" s="195" t="s">
        <v>81</v>
      </c>
      <c r="M216" s="204">
        <f t="shared" si="44"/>
        <v>414</v>
      </c>
      <c r="N216" s="195" t="s">
        <v>236</v>
      </c>
      <c r="O216" s="205">
        <v>0.1</v>
      </c>
      <c r="P216" s="195" t="s">
        <v>162</v>
      </c>
      <c r="Q216" s="227">
        <f t="shared" si="31"/>
        <v>41.400000000000006</v>
      </c>
      <c r="R216" s="226"/>
      <c r="S216" s="227">
        <f t="shared" si="32"/>
        <v>41.4</v>
      </c>
      <c r="T216" s="203" t="s">
        <v>48</v>
      </c>
      <c r="U216" s="183" t="str">
        <f t="shared" si="29"/>
        <v>41.4 Hrs</v>
      </c>
    </row>
    <row r="217" spans="3:21" s="172" customFormat="1" ht="20.25" customHeight="1">
      <c r="C217" s="185"/>
      <c r="D217" s="190">
        <f t="shared" si="41"/>
        <v>217</v>
      </c>
      <c r="E217" s="194" t="s">
        <v>245</v>
      </c>
      <c r="F217" s="198">
        <f t="shared" si="30"/>
        <v>216</v>
      </c>
      <c r="G217" s="193" t="s">
        <v>217</v>
      </c>
      <c r="H217" s="193"/>
      <c r="I217" s="195"/>
      <c r="J217" s="195"/>
      <c r="K217" s="221">
        <v>414</v>
      </c>
      <c r="L217" s="195" t="s">
        <v>81</v>
      </c>
      <c r="M217" s="204">
        <f t="shared" si="44"/>
        <v>414</v>
      </c>
      <c r="N217" s="195" t="s">
        <v>81</v>
      </c>
      <c r="O217" s="233">
        <f>1/60</f>
        <v>1.6666666666666666E-2</v>
      </c>
      <c r="P217" s="195" t="s">
        <v>162</v>
      </c>
      <c r="Q217" s="227">
        <f t="shared" si="31"/>
        <v>6.8999999999999995</v>
      </c>
      <c r="R217" s="226"/>
      <c r="S217" s="227">
        <f t="shared" si="32"/>
        <v>6.9</v>
      </c>
      <c r="T217" s="203" t="s">
        <v>48</v>
      </c>
      <c r="U217" s="183" t="str">
        <f t="shared" si="29"/>
        <v>6.9 Hrs</v>
      </c>
    </row>
    <row r="218" spans="3:21" s="172" customFormat="1" ht="20.25" customHeight="1">
      <c r="C218" s="185">
        <f>D218</f>
        <v>218</v>
      </c>
      <c r="D218" s="190">
        <f t="shared" si="41"/>
        <v>218</v>
      </c>
      <c r="E218" s="196" t="s">
        <v>246</v>
      </c>
      <c r="F218" s="197">
        <f>D16</f>
        <v>16</v>
      </c>
      <c r="G218" s="193"/>
      <c r="H218" s="193"/>
      <c r="I218" s="195"/>
      <c r="J218" s="195"/>
      <c r="K218" s="221"/>
      <c r="L218" s="195"/>
      <c r="M218" s="204"/>
      <c r="N218" s="195"/>
      <c r="O218" s="205"/>
      <c r="P218" s="195"/>
      <c r="Q218" s="227"/>
      <c r="R218" s="226"/>
      <c r="S218" s="227"/>
      <c r="T218" s="203"/>
      <c r="U218" s="183"/>
    </row>
    <row r="219" spans="3:21" s="172" customFormat="1" ht="20.25" customHeight="1">
      <c r="C219" s="185"/>
      <c r="D219" s="190">
        <f t="shared" si="41"/>
        <v>219</v>
      </c>
      <c r="E219" s="194" t="s">
        <v>247</v>
      </c>
      <c r="F219" s="198"/>
      <c r="G219" s="193" t="s">
        <v>44</v>
      </c>
      <c r="H219" s="193"/>
      <c r="I219" s="211">
        <v>8</v>
      </c>
      <c r="J219" s="221" t="s">
        <v>248</v>
      </c>
      <c r="K219" s="221">
        <v>2</v>
      </c>
      <c r="L219" s="195" t="s">
        <v>81</v>
      </c>
      <c r="M219" s="214">
        <f>LEFT(J219,SEARCH(" ",J219,1)-1)*K219*0.001</f>
        <v>19.044</v>
      </c>
      <c r="N219" s="195" t="s">
        <v>249</v>
      </c>
      <c r="O219" s="233">
        <f>VLOOKUP(I219,BM!$B$3:$Y$62,2,FALSE)</f>
        <v>0.1</v>
      </c>
      <c r="P219" s="195" t="s">
        <v>162</v>
      </c>
      <c r="Q219" s="227">
        <f t="shared" si="31"/>
        <v>1.9044000000000001</v>
      </c>
      <c r="R219" s="226"/>
      <c r="S219" s="227">
        <f t="shared" si="32"/>
        <v>1.9</v>
      </c>
      <c r="T219" s="203" t="s">
        <v>48</v>
      </c>
      <c r="U219" s="183" t="str">
        <f t="shared" si="29"/>
        <v>1.9 Hrs</v>
      </c>
    </row>
    <row r="220" spans="3:21" s="172" customFormat="1" ht="20.25" customHeight="1">
      <c r="C220" s="185"/>
      <c r="D220" s="190">
        <f t="shared" si="41"/>
        <v>220</v>
      </c>
      <c r="E220" s="194" t="s">
        <v>250</v>
      </c>
      <c r="F220" s="198">
        <f t="shared" si="30"/>
        <v>219</v>
      </c>
      <c r="G220" s="193" t="s">
        <v>52</v>
      </c>
      <c r="H220" s="193"/>
      <c r="I220" s="211">
        <v>25</v>
      </c>
      <c r="J220" s="195" t="str">
        <f t="shared" ref="J220:J224" si="45">J219</f>
        <v>9522 mm</v>
      </c>
      <c r="K220" s="221">
        <v>2</v>
      </c>
      <c r="L220" s="195" t="s">
        <v>81</v>
      </c>
      <c r="M220" s="214">
        <f>LEFT(J220,SEARCH(" ",J220,1)-1)*K220*0.001</f>
        <v>19.044</v>
      </c>
      <c r="N220" s="195" t="s">
        <v>249</v>
      </c>
      <c r="O220" s="233">
        <f>VLOOKUP(I220,BM!$B$3:$Y$62,3,FALSE)</f>
        <v>0.25</v>
      </c>
      <c r="P220" s="195" t="s">
        <v>162</v>
      </c>
      <c r="Q220" s="227">
        <f t="shared" si="31"/>
        <v>4.7610000000000001</v>
      </c>
      <c r="R220" s="226"/>
      <c r="S220" s="227">
        <f t="shared" si="32"/>
        <v>4.76</v>
      </c>
      <c r="T220" s="203" t="s">
        <v>48</v>
      </c>
      <c r="U220" s="183" t="str">
        <f t="shared" ref="U220:U282" si="46">CONCATENATE(S220," ",T220)</f>
        <v>4.76 Hrs</v>
      </c>
    </row>
    <row r="221" spans="3:21" s="172" customFormat="1" ht="20.25" customHeight="1">
      <c r="C221" s="185"/>
      <c r="D221" s="190">
        <f t="shared" si="41"/>
        <v>221</v>
      </c>
      <c r="E221" s="194" t="s">
        <v>251</v>
      </c>
      <c r="F221" s="198">
        <f t="shared" ref="F221:F282" si="47">D220</f>
        <v>220</v>
      </c>
      <c r="G221" s="193" t="s">
        <v>201</v>
      </c>
      <c r="H221" s="193"/>
      <c r="I221" s="211">
        <v>25</v>
      </c>
      <c r="J221" s="195" t="str">
        <f t="shared" si="45"/>
        <v>9522 mm</v>
      </c>
      <c r="K221" s="221">
        <v>2</v>
      </c>
      <c r="L221" s="195" t="s">
        <v>81</v>
      </c>
      <c r="M221" s="222">
        <f>K221</f>
        <v>2</v>
      </c>
      <c r="N221" s="195" t="s">
        <v>81</v>
      </c>
      <c r="O221" s="205">
        <v>2</v>
      </c>
      <c r="P221" s="195" t="s">
        <v>162</v>
      </c>
      <c r="Q221" s="227">
        <f t="shared" ref="Q221:Q282" si="48">M221*O221</f>
        <v>4</v>
      </c>
      <c r="R221" s="226"/>
      <c r="S221" s="227">
        <f t="shared" ref="S221:S284" si="49">ROUND(Q221+R221,2)</f>
        <v>4</v>
      </c>
      <c r="T221" s="203" t="s">
        <v>48</v>
      </c>
      <c r="U221" s="183" t="str">
        <f t="shared" si="46"/>
        <v>4 Hrs</v>
      </c>
    </row>
    <row r="222" spans="3:21" s="172" customFormat="1" ht="20.25" customHeight="1">
      <c r="C222" s="185"/>
      <c r="D222" s="190">
        <f t="shared" si="41"/>
        <v>222</v>
      </c>
      <c r="E222" s="194" t="s">
        <v>252</v>
      </c>
      <c r="F222" s="198">
        <f t="shared" si="47"/>
        <v>221</v>
      </c>
      <c r="G222" s="193" t="s">
        <v>61</v>
      </c>
      <c r="H222" s="193"/>
      <c r="I222" s="211">
        <v>25</v>
      </c>
      <c r="J222" s="195" t="str">
        <f t="shared" si="45"/>
        <v>9522 mm</v>
      </c>
      <c r="K222" s="221">
        <v>2</v>
      </c>
      <c r="L222" s="195" t="s">
        <v>81</v>
      </c>
      <c r="M222" s="204">
        <v>4</v>
      </c>
      <c r="N222" s="195" t="s">
        <v>81</v>
      </c>
      <c r="O222" s="205">
        <v>4</v>
      </c>
      <c r="P222" s="195" t="s">
        <v>162</v>
      </c>
      <c r="Q222" s="227">
        <f t="shared" si="48"/>
        <v>16</v>
      </c>
      <c r="R222" s="226"/>
      <c r="S222" s="227">
        <f t="shared" si="49"/>
        <v>16</v>
      </c>
      <c r="T222" s="203" t="s">
        <v>48</v>
      </c>
      <c r="U222" s="183" t="str">
        <f t="shared" si="46"/>
        <v>16 Hrs</v>
      </c>
    </row>
    <row r="223" spans="3:21" s="172" customFormat="1" ht="20.25" customHeight="1">
      <c r="C223" s="185"/>
      <c r="D223" s="190">
        <f t="shared" si="41"/>
        <v>223</v>
      </c>
      <c r="E223" s="194" t="s">
        <v>253</v>
      </c>
      <c r="F223" s="198">
        <f t="shared" si="47"/>
        <v>222</v>
      </c>
      <c r="G223" s="193" t="s">
        <v>240</v>
      </c>
      <c r="H223" s="193"/>
      <c r="I223" s="211">
        <v>25</v>
      </c>
      <c r="J223" s="195" t="str">
        <f t="shared" si="45"/>
        <v>9522 mm</v>
      </c>
      <c r="K223" s="221">
        <v>2</v>
      </c>
      <c r="L223" s="195" t="s">
        <v>81</v>
      </c>
      <c r="M223" s="204">
        <v>4</v>
      </c>
      <c r="N223" s="195" t="s">
        <v>81</v>
      </c>
      <c r="O223" s="205">
        <v>1</v>
      </c>
      <c r="P223" s="195" t="s">
        <v>162</v>
      </c>
      <c r="Q223" s="227">
        <f t="shared" si="48"/>
        <v>4</v>
      </c>
      <c r="R223" s="226"/>
      <c r="S223" s="227">
        <f t="shared" si="49"/>
        <v>4</v>
      </c>
      <c r="T223" s="203" t="s">
        <v>48</v>
      </c>
      <c r="U223" s="183" t="str">
        <f t="shared" si="46"/>
        <v>4 Hrs</v>
      </c>
    </row>
    <row r="224" spans="3:21" s="172" customFormat="1" ht="20.25" customHeight="1">
      <c r="C224" s="185"/>
      <c r="D224" s="190">
        <f t="shared" si="41"/>
        <v>224</v>
      </c>
      <c r="E224" s="194" t="s">
        <v>254</v>
      </c>
      <c r="F224" s="198">
        <f t="shared" si="47"/>
        <v>223</v>
      </c>
      <c r="G224" s="193" t="s">
        <v>61</v>
      </c>
      <c r="H224" s="193"/>
      <c r="I224" s="211">
        <v>25</v>
      </c>
      <c r="J224" s="195" t="str">
        <f t="shared" si="45"/>
        <v>9522 mm</v>
      </c>
      <c r="K224" s="221">
        <v>2</v>
      </c>
      <c r="L224" s="195" t="s">
        <v>81</v>
      </c>
      <c r="M224" s="204">
        <v>4</v>
      </c>
      <c r="N224" s="195" t="s">
        <v>81</v>
      </c>
      <c r="O224" s="205">
        <v>1</v>
      </c>
      <c r="P224" s="195" t="s">
        <v>162</v>
      </c>
      <c r="Q224" s="227">
        <f t="shared" si="48"/>
        <v>4</v>
      </c>
      <c r="R224" s="226"/>
      <c r="S224" s="227">
        <f t="shared" si="49"/>
        <v>4</v>
      </c>
      <c r="T224" s="203" t="s">
        <v>48</v>
      </c>
      <c r="U224" s="183" t="str">
        <f t="shared" si="46"/>
        <v>4 Hrs</v>
      </c>
    </row>
    <row r="225" spans="3:21" s="172" customFormat="1" ht="20.25" customHeight="1">
      <c r="C225" s="185">
        <f>D225</f>
        <v>225</v>
      </c>
      <c r="D225" s="190">
        <f t="shared" si="41"/>
        <v>225</v>
      </c>
      <c r="E225" s="196" t="s">
        <v>255</v>
      </c>
      <c r="F225" s="197">
        <f>D17</f>
        <v>17</v>
      </c>
      <c r="G225" s="193"/>
      <c r="H225" s="193"/>
      <c r="I225" s="195"/>
      <c r="J225" s="195"/>
      <c r="K225" s="221"/>
      <c r="L225" s="195"/>
      <c r="M225" s="204"/>
      <c r="N225" s="195"/>
      <c r="O225" s="205"/>
      <c r="P225" s="195"/>
      <c r="Q225" s="227"/>
      <c r="R225" s="226"/>
      <c r="S225" s="227"/>
      <c r="T225" s="203"/>
      <c r="U225" s="183"/>
    </row>
    <row r="226" spans="3:21" s="172" customFormat="1" ht="20.25" customHeight="1">
      <c r="C226" s="185"/>
      <c r="D226" s="190">
        <f t="shared" si="41"/>
        <v>226</v>
      </c>
      <c r="E226" s="194" t="s">
        <v>256</v>
      </c>
      <c r="F226" s="198"/>
      <c r="G226" s="193" t="s">
        <v>44</v>
      </c>
      <c r="H226" s="193"/>
      <c r="I226" s="211">
        <v>8</v>
      </c>
      <c r="J226" s="221" t="s">
        <v>257</v>
      </c>
      <c r="K226" s="221">
        <v>2</v>
      </c>
      <c r="L226" s="195" t="s">
        <v>81</v>
      </c>
      <c r="M226" s="214">
        <f>LEFT(J226,SEARCH(" ",J226,1)-1)*K226*0.001</f>
        <v>26.731999999999999</v>
      </c>
      <c r="N226" s="195" t="s">
        <v>249</v>
      </c>
      <c r="O226" s="233">
        <f>VLOOKUP(I226,BM!$B$3:$Y$62,2,FALSE)</f>
        <v>0.1</v>
      </c>
      <c r="P226" s="195" t="s">
        <v>162</v>
      </c>
      <c r="Q226" s="227">
        <f t="shared" si="48"/>
        <v>2.6732</v>
      </c>
      <c r="R226" s="226"/>
      <c r="S226" s="227">
        <f t="shared" si="49"/>
        <v>2.67</v>
      </c>
      <c r="T226" s="203" t="s">
        <v>48</v>
      </c>
      <c r="U226" s="183" t="str">
        <f t="shared" si="46"/>
        <v>2.67 Hrs</v>
      </c>
    </row>
    <row r="227" spans="3:21" s="172" customFormat="1" ht="20.25" customHeight="1">
      <c r="C227" s="185"/>
      <c r="D227" s="190">
        <f t="shared" si="41"/>
        <v>227</v>
      </c>
      <c r="E227" s="194" t="s">
        <v>258</v>
      </c>
      <c r="F227" s="198">
        <f t="shared" si="47"/>
        <v>226</v>
      </c>
      <c r="G227" s="193" t="s">
        <v>52</v>
      </c>
      <c r="H227" s="193"/>
      <c r="I227" s="220">
        <f t="shared" ref="I227:K231" si="50">I226</f>
        <v>8</v>
      </c>
      <c r="J227" s="198" t="str">
        <f t="shared" si="50"/>
        <v>13366 mm</v>
      </c>
      <c r="K227" s="212">
        <f t="shared" si="50"/>
        <v>2</v>
      </c>
      <c r="L227" s="195" t="s">
        <v>81</v>
      </c>
      <c r="M227" s="214">
        <f>LEFT(J227,SEARCH(" ",J227,1)-1)*K227*0.001</f>
        <v>26.731999999999999</v>
      </c>
      <c r="N227" s="195" t="s">
        <v>249</v>
      </c>
      <c r="O227" s="233">
        <f>VLOOKUP(I227,BM!$B$3:$Y$62,3,FALSE)</f>
        <v>0.25</v>
      </c>
      <c r="P227" s="195" t="s">
        <v>162</v>
      </c>
      <c r="Q227" s="227">
        <f t="shared" si="48"/>
        <v>6.6829999999999998</v>
      </c>
      <c r="R227" s="226"/>
      <c r="S227" s="227">
        <f t="shared" si="49"/>
        <v>6.68</v>
      </c>
      <c r="T227" s="203" t="s">
        <v>48</v>
      </c>
      <c r="U227" s="183" t="str">
        <f t="shared" si="46"/>
        <v>6.68 Hrs</v>
      </c>
    </row>
    <row r="228" spans="3:21" s="172" customFormat="1" ht="20.25" customHeight="1">
      <c r="C228" s="185"/>
      <c r="D228" s="190">
        <f t="shared" si="41"/>
        <v>228</v>
      </c>
      <c r="E228" s="194" t="s">
        <v>259</v>
      </c>
      <c r="F228" s="198">
        <f t="shared" si="47"/>
        <v>227</v>
      </c>
      <c r="G228" s="193" t="s">
        <v>201</v>
      </c>
      <c r="H228" s="193"/>
      <c r="I228" s="220">
        <f t="shared" si="50"/>
        <v>8</v>
      </c>
      <c r="J228" s="198" t="str">
        <f t="shared" si="50"/>
        <v>13366 mm</v>
      </c>
      <c r="K228" s="212">
        <f t="shared" si="50"/>
        <v>2</v>
      </c>
      <c r="L228" s="195" t="s">
        <v>81</v>
      </c>
      <c r="M228" s="222">
        <f>K228</f>
        <v>2</v>
      </c>
      <c r="N228" s="195" t="s">
        <v>81</v>
      </c>
      <c r="O228" s="205">
        <v>2</v>
      </c>
      <c r="P228" s="195" t="s">
        <v>162</v>
      </c>
      <c r="Q228" s="227">
        <f t="shared" si="48"/>
        <v>4</v>
      </c>
      <c r="R228" s="226"/>
      <c r="S228" s="227">
        <f t="shared" si="49"/>
        <v>4</v>
      </c>
      <c r="T228" s="203" t="s">
        <v>48</v>
      </c>
      <c r="U228" s="183" t="str">
        <f t="shared" si="46"/>
        <v>4 Hrs</v>
      </c>
    </row>
    <row r="229" spans="3:21" s="172" customFormat="1" ht="20.25" customHeight="1">
      <c r="C229" s="185"/>
      <c r="D229" s="190">
        <f t="shared" si="41"/>
        <v>229</v>
      </c>
      <c r="E229" s="194" t="s">
        <v>260</v>
      </c>
      <c r="F229" s="198">
        <f t="shared" si="47"/>
        <v>228</v>
      </c>
      <c r="G229" s="193" t="s">
        <v>61</v>
      </c>
      <c r="H229" s="193"/>
      <c r="I229" s="220">
        <f t="shared" si="50"/>
        <v>8</v>
      </c>
      <c r="J229" s="198" t="str">
        <f t="shared" si="50"/>
        <v>13366 mm</v>
      </c>
      <c r="K229" s="212">
        <f t="shared" si="50"/>
        <v>2</v>
      </c>
      <c r="L229" s="195" t="s">
        <v>81</v>
      </c>
      <c r="M229" s="204">
        <v>4</v>
      </c>
      <c r="N229" s="195" t="s">
        <v>81</v>
      </c>
      <c r="O229" s="205">
        <v>4</v>
      </c>
      <c r="P229" s="195" t="s">
        <v>162</v>
      </c>
      <c r="Q229" s="227">
        <f t="shared" si="48"/>
        <v>16</v>
      </c>
      <c r="R229" s="226"/>
      <c r="S229" s="227">
        <f t="shared" si="49"/>
        <v>16</v>
      </c>
      <c r="T229" s="203" t="s">
        <v>48</v>
      </c>
      <c r="U229" s="183" t="str">
        <f t="shared" si="46"/>
        <v>16 Hrs</v>
      </c>
    </row>
    <row r="230" spans="3:21" s="172" customFormat="1" ht="20.25" customHeight="1">
      <c r="C230" s="185"/>
      <c r="D230" s="190">
        <f t="shared" si="41"/>
        <v>230</v>
      </c>
      <c r="E230" s="194" t="s">
        <v>261</v>
      </c>
      <c r="F230" s="198">
        <f t="shared" si="47"/>
        <v>229</v>
      </c>
      <c r="G230" s="193" t="s">
        <v>240</v>
      </c>
      <c r="H230" s="193"/>
      <c r="I230" s="220">
        <f t="shared" si="50"/>
        <v>8</v>
      </c>
      <c r="J230" s="198" t="str">
        <f t="shared" si="50"/>
        <v>13366 mm</v>
      </c>
      <c r="K230" s="212">
        <f t="shared" si="50"/>
        <v>2</v>
      </c>
      <c r="L230" s="195" t="s">
        <v>81</v>
      </c>
      <c r="M230" s="204">
        <v>4</v>
      </c>
      <c r="N230" s="195" t="s">
        <v>81</v>
      </c>
      <c r="O230" s="205">
        <v>1</v>
      </c>
      <c r="P230" s="195" t="s">
        <v>162</v>
      </c>
      <c r="Q230" s="227">
        <f t="shared" si="48"/>
        <v>4</v>
      </c>
      <c r="R230" s="226"/>
      <c r="S230" s="227">
        <f t="shared" si="49"/>
        <v>4</v>
      </c>
      <c r="T230" s="203" t="s">
        <v>48</v>
      </c>
      <c r="U230" s="183" t="str">
        <f t="shared" si="46"/>
        <v>4 Hrs</v>
      </c>
    </row>
    <row r="231" spans="3:21" s="172" customFormat="1" ht="20.25" customHeight="1">
      <c r="C231" s="185"/>
      <c r="D231" s="190">
        <f t="shared" si="41"/>
        <v>231</v>
      </c>
      <c r="E231" s="194" t="s">
        <v>262</v>
      </c>
      <c r="F231" s="198">
        <f t="shared" si="47"/>
        <v>230</v>
      </c>
      <c r="G231" s="193" t="s">
        <v>61</v>
      </c>
      <c r="H231" s="193"/>
      <c r="I231" s="220">
        <f t="shared" si="50"/>
        <v>8</v>
      </c>
      <c r="J231" s="198" t="str">
        <f t="shared" si="50"/>
        <v>13366 mm</v>
      </c>
      <c r="K231" s="212">
        <f t="shared" si="50"/>
        <v>2</v>
      </c>
      <c r="L231" s="195" t="s">
        <v>81</v>
      </c>
      <c r="M231" s="204">
        <v>4</v>
      </c>
      <c r="N231" s="195" t="s">
        <v>81</v>
      </c>
      <c r="O231" s="205">
        <v>1</v>
      </c>
      <c r="P231" s="195" t="s">
        <v>162</v>
      </c>
      <c r="Q231" s="227">
        <f t="shared" si="48"/>
        <v>4</v>
      </c>
      <c r="R231" s="226"/>
      <c r="S231" s="227">
        <f t="shared" si="49"/>
        <v>4</v>
      </c>
      <c r="T231" s="203" t="s">
        <v>48</v>
      </c>
      <c r="U231" s="183" t="str">
        <f t="shared" si="46"/>
        <v>4 Hrs</v>
      </c>
    </row>
    <row r="232" spans="3:21" s="172" customFormat="1" ht="20.25" customHeight="1">
      <c r="C232" s="185">
        <f>D232</f>
        <v>232</v>
      </c>
      <c r="D232" s="190">
        <f t="shared" si="41"/>
        <v>232</v>
      </c>
      <c r="E232" s="196" t="s">
        <v>263</v>
      </c>
      <c r="F232" s="197">
        <f>D18</f>
        <v>18</v>
      </c>
      <c r="G232" s="193"/>
      <c r="H232" s="193"/>
      <c r="I232" s="195"/>
      <c r="J232" s="195"/>
      <c r="K232" s="221"/>
      <c r="L232" s="195"/>
      <c r="M232" s="204"/>
      <c r="N232" s="195"/>
      <c r="O232" s="205"/>
      <c r="P232" s="195"/>
      <c r="Q232" s="227"/>
      <c r="R232" s="226"/>
      <c r="S232" s="227"/>
      <c r="T232" s="203"/>
      <c r="U232" s="183"/>
    </row>
    <row r="233" spans="3:21" s="172" customFormat="1" ht="20.25" customHeight="1">
      <c r="C233" s="185"/>
      <c r="D233" s="190">
        <f t="shared" si="41"/>
        <v>233</v>
      </c>
      <c r="E233" s="194" t="s">
        <v>264</v>
      </c>
      <c r="F233" s="198"/>
      <c r="G233" s="193" t="s">
        <v>37</v>
      </c>
      <c r="H233" s="193"/>
      <c r="I233" s="195"/>
      <c r="J233" s="195"/>
      <c r="K233" s="221">
        <v>1</v>
      </c>
      <c r="L233" s="195" t="s">
        <v>84</v>
      </c>
      <c r="M233" s="204">
        <v>1</v>
      </c>
      <c r="N233" s="195"/>
      <c r="O233" s="205">
        <v>4</v>
      </c>
      <c r="P233" s="195" t="s">
        <v>41</v>
      </c>
      <c r="Q233" s="227">
        <f t="shared" si="48"/>
        <v>4</v>
      </c>
      <c r="R233" s="226"/>
      <c r="S233" s="227">
        <f t="shared" si="49"/>
        <v>4</v>
      </c>
      <c r="T233" s="203" t="s">
        <v>42</v>
      </c>
      <c r="U233" s="183" t="str">
        <f t="shared" si="46"/>
        <v>4 Days</v>
      </c>
    </row>
    <row r="234" spans="3:21" s="172" customFormat="1" ht="20.25" customHeight="1">
      <c r="C234" s="185"/>
      <c r="D234" s="190">
        <f t="shared" si="41"/>
        <v>234</v>
      </c>
      <c r="E234" s="194" t="s">
        <v>265</v>
      </c>
      <c r="F234" s="198">
        <f t="shared" si="47"/>
        <v>233</v>
      </c>
      <c r="G234" s="193" t="s">
        <v>44</v>
      </c>
      <c r="H234" s="193"/>
      <c r="I234" s="211" t="s">
        <v>266</v>
      </c>
      <c r="J234" s="212">
        <v>14</v>
      </c>
      <c r="K234" s="221">
        <v>14</v>
      </c>
      <c r="L234" s="195" t="s">
        <v>81</v>
      </c>
      <c r="M234" s="222">
        <f>K234</f>
        <v>14</v>
      </c>
      <c r="N234" s="195" t="s">
        <v>81</v>
      </c>
      <c r="O234" s="205">
        <v>0.25</v>
      </c>
      <c r="P234" s="195" t="s">
        <v>162</v>
      </c>
      <c r="Q234" s="227">
        <f t="shared" si="48"/>
        <v>3.5</v>
      </c>
      <c r="R234" s="226"/>
      <c r="S234" s="227">
        <f t="shared" si="49"/>
        <v>3.5</v>
      </c>
      <c r="T234" s="203" t="s">
        <v>48</v>
      </c>
      <c r="U234" s="183" t="str">
        <f t="shared" si="46"/>
        <v>3.5 Hrs</v>
      </c>
    </row>
    <row r="235" spans="3:21" s="172" customFormat="1" ht="20.25" customHeight="1">
      <c r="C235" s="185"/>
      <c r="D235" s="190">
        <f t="shared" si="41"/>
        <v>235</v>
      </c>
      <c r="E235" s="194" t="s">
        <v>267</v>
      </c>
      <c r="F235" s="198">
        <f t="shared" si="47"/>
        <v>234</v>
      </c>
      <c r="G235" s="193" t="s">
        <v>44</v>
      </c>
      <c r="H235" s="193"/>
      <c r="I235" s="220" t="str">
        <f t="shared" ref="I235:K236" si="51">I234</f>
        <v>25.4 dia</v>
      </c>
      <c r="J235" s="198">
        <f>J234</f>
        <v>14</v>
      </c>
      <c r="K235" s="212">
        <f t="shared" si="51"/>
        <v>14</v>
      </c>
      <c r="L235" s="195" t="s">
        <v>81</v>
      </c>
      <c r="M235" s="222">
        <f>K235</f>
        <v>14</v>
      </c>
      <c r="N235" s="195" t="s">
        <v>81</v>
      </c>
      <c r="O235" s="205">
        <v>0.5</v>
      </c>
      <c r="P235" s="195" t="s">
        <v>162</v>
      </c>
      <c r="Q235" s="227">
        <f t="shared" si="48"/>
        <v>7</v>
      </c>
      <c r="R235" s="226"/>
      <c r="S235" s="227">
        <f t="shared" si="49"/>
        <v>7</v>
      </c>
      <c r="T235" s="203" t="s">
        <v>48</v>
      </c>
      <c r="U235" s="183" t="str">
        <f t="shared" si="46"/>
        <v>7 Hrs</v>
      </c>
    </row>
    <row r="236" spans="3:21" s="172" customFormat="1" ht="20.25" customHeight="1">
      <c r="C236" s="185"/>
      <c r="D236" s="190">
        <f t="shared" si="41"/>
        <v>236</v>
      </c>
      <c r="E236" s="194" t="s">
        <v>268</v>
      </c>
      <c r="F236" s="198">
        <f t="shared" si="47"/>
        <v>235</v>
      </c>
      <c r="G236" s="193" t="s">
        <v>201</v>
      </c>
      <c r="H236" s="193"/>
      <c r="I236" s="220" t="str">
        <f t="shared" si="51"/>
        <v>25.4 dia</v>
      </c>
      <c r="J236" s="198">
        <f>J235</f>
        <v>14</v>
      </c>
      <c r="K236" s="212">
        <f t="shared" si="51"/>
        <v>14</v>
      </c>
      <c r="L236" s="195" t="s">
        <v>81</v>
      </c>
      <c r="M236" s="222">
        <f>K236</f>
        <v>14</v>
      </c>
      <c r="N236" s="195" t="s">
        <v>81</v>
      </c>
      <c r="O236" s="205">
        <v>1</v>
      </c>
      <c r="P236" s="195" t="s">
        <v>162</v>
      </c>
      <c r="Q236" s="227">
        <f t="shared" si="48"/>
        <v>14</v>
      </c>
      <c r="R236" s="226"/>
      <c r="S236" s="227">
        <f t="shared" si="49"/>
        <v>14</v>
      </c>
      <c r="T236" s="203" t="s">
        <v>48</v>
      </c>
      <c r="U236" s="183" t="str">
        <f t="shared" si="46"/>
        <v>14 Hrs</v>
      </c>
    </row>
    <row r="237" spans="3:21" s="172" customFormat="1" ht="20.25" customHeight="1">
      <c r="C237" s="185">
        <f t="shared" ref="C237:C238" si="52">D237</f>
        <v>237</v>
      </c>
      <c r="D237" s="190">
        <f t="shared" si="41"/>
        <v>237</v>
      </c>
      <c r="E237" s="235" t="s">
        <v>269</v>
      </c>
      <c r="F237" s="198">
        <f t="shared" si="47"/>
        <v>236</v>
      </c>
      <c r="G237" s="193"/>
      <c r="H237" s="193"/>
      <c r="I237" s="195"/>
      <c r="J237" s="195"/>
      <c r="K237" s="221"/>
      <c r="L237" s="195"/>
      <c r="M237" s="204"/>
      <c r="N237" s="195"/>
      <c r="O237" s="205"/>
      <c r="P237" s="195"/>
      <c r="Q237" s="227"/>
      <c r="R237" s="226"/>
      <c r="S237" s="227"/>
      <c r="T237" s="203"/>
      <c r="U237" s="183"/>
    </row>
    <row r="238" spans="3:21" s="172" customFormat="1" ht="20.25" customHeight="1">
      <c r="C238" s="185">
        <f t="shared" si="52"/>
        <v>238</v>
      </c>
      <c r="D238" s="190">
        <f t="shared" si="41"/>
        <v>238</v>
      </c>
      <c r="E238" s="196" t="s">
        <v>270</v>
      </c>
      <c r="F238" s="197">
        <f>D3</f>
        <v>3</v>
      </c>
      <c r="G238" s="193"/>
      <c r="H238" s="193"/>
      <c r="I238" s="195"/>
      <c r="J238" s="195"/>
      <c r="K238" s="221"/>
      <c r="L238" s="195"/>
      <c r="M238" s="204"/>
      <c r="N238" s="195"/>
      <c r="O238" s="205"/>
      <c r="P238" s="195"/>
      <c r="Q238" s="227"/>
      <c r="R238" s="226"/>
      <c r="S238" s="227"/>
      <c r="T238" s="203"/>
      <c r="U238" s="183"/>
    </row>
    <row r="239" spans="3:21" s="172" customFormat="1" ht="20.25" customHeight="1">
      <c r="C239" s="185"/>
      <c r="D239" s="190">
        <f t="shared" si="41"/>
        <v>239</v>
      </c>
      <c r="E239" s="194" t="s">
        <v>271</v>
      </c>
      <c r="F239" s="198"/>
      <c r="G239" s="193" t="s">
        <v>37</v>
      </c>
      <c r="H239" s="193"/>
      <c r="I239" s="195"/>
      <c r="J239" s="195"/>
      <c r="K239" s="221">
        <v>1</v>
      </c>
      <c r="L239" s="195" t="s">
        <v>84</v>
      </c>
      <c r="M239" s="204">
        <v>1</v>
      </c>
      <c r="N239" s="195"/>
      <c r="O239" s="205">
        <v>4</v>
      </c>
      <c r="P239" s="195" t="s">
        <v>41</v>
      </c>
      <c r="Q239" s="227">
        <f t="shared" si="48"/>
        <v>4</v>
      </c>
      <c r="R239" s="226"/>
      <c r="S239" s="227">
        <f t="shared" si="49"/>
        <v>4</v>
      </c>
      <c r="T239" s="203" t="s">
        <v>42</v>
      </c>
      <c r="U239" s="183" t="str">
        <f t="shared" si="46"/>
        <v>4 Days</v>
      </c>
    </row>
    <row r="240" spans="3:21" s="172" customFormat="1" ht="20.25" customHeight="1">
      <c r="C240" s="185"/>
      <c r="D240" s="190">
        <f t="shared" si="41"/>
        <v>240</v>
      </c>
      <c r="E240" s="194" t="s">
        <v>272</v>
      </c>
      <c r="F240" s="198">
        <f t="shared" si="47"/>
        <v>239</v>
      </c>
      <c r="G240" s="193" t="s">
        <v>201</v>
      </c>
      <c r="H240" s="193"/>
      <c r="I240" s="211">
        <v>18</v>
      </c>
      <c r="J240" s="212" t="s">
        <v>273</v>
      </c>
      <c r="K240" s="221">
        <v>1</v>
      </c>
      <c r="L240" s="195" t="s">
        <v>81</v>
      </c>
      <c r="M240" s="214">
        <f>LEFT(J240,SEARCH(" ",J240,1)-1)*K240*0.001</f>
        <v>43</v>
      </c>
      <c r="N240" s="195" t="s">
        <v>139</v>
      </c>
      <c r="O240" s="233">
        <f>VLOOKUP(I240,BM!$B$3:$Y$62,2,FALSE)</f>
        <v>0.1</v>
      </c>
      <c r="P240" s="195" t="s">
        <v>112</v>
      </c>
      <c r="Q240" s="227">
        <f t="shared" si="48"/>
        <v>4.3</v>
      </c>
      <c r="R240" s="226">
        <v>1</v>
      </c>
      <c r="S240" s="227">
        <f t="shared" si="49"/>
        <v>5.3</v>
      </c>
      <c r="T240" s="203" t="s">
        <v>48</v>
      </c>
      <c r="U240" s="183" t="str">
        <f t="shared" si="46"/>
        <v>5.3 Hrs</v>
      </c>
    </row>
    <row r="241" spans="3:21" s="172" customFormat="1" ht="20.25" customHeight="1">
      <c r="C241" s="185">
        <f>D241</f>
        <v>241</v>
      </c>
      <c r="D241" s="190">
        <f t="shared" si="41"/>
        <v>241</v>
      </c>
      <c r="E241" s="196" t="s">
        <v>274</v>
      </c>
      <c r="F241" s="197">
        <f>D238</f>
        <v>238</v>
      </c>
      <c r="G241" s="193"/>
      <c r="H241" s="193"/>
      <c r="I241" s="195"/>
      <c r="J241" s="195"/>
      <c r="K241" s="221"/>
      <c r="L241" s="195"/>
      <c r="M241" s="204"/>
      <c r="N241" s="195"/>
      <c r="O241" s="205"/>
      <c r="P241" s="195"/>
      <c r="Q241" s="227"/>
      <c r="R241" s="226"/>
      <c r="S241" s="227"/>
      <c r="T241" s="203"/>
      <c r="U241" s="183"/>
    </row>
    <row r="242" spans="3:21" s="172" customFormat="1" ht="20.25" customHeight="1">
      <c r="C242" s="185"/>
      <c r="D242" s="190">
        <f t="shared" si="41"/>
        <v>242</v>
      </c>
      <c r="E242" s="194" t="s">
        <v>275</v>
      </c>
      <c r="F242" s="198"/>
      <c r="G242" s="193" t="s">
        <v>276</v>
      </c>
      <c r="H242" s="193"/>
      <c r="I242" s="211">
        <v>18</v>
      </c>
      <c r="J242" s="212" t="s">
        <v>273</v>
      </c>
      <c r="K242" s="221">
        <v>3</v>
      </c>
      <c r="L242" s="195" t="s">
        <v>81</v>
      </c>
      <c r="M242" s="214">
        <f>LEFT(J242,SEARCH(" ",J242,1)-1)*K242*0.001</f>
        <v>129</v>
      </c>
      <c r="N242" s="195" t="s">
        <v>139</v>
      </c>
      <c r="O242" s="233">
        <f>VLOOKUP(I242,BM!$B$3:$Y$62,3,FALSE)</f>
        <v>0.25</v>
      </c>
      <c r="P242" s="195" t="s">
        <v>112</v>
      </c>
      <c r="Q242" s="227">
        <f t="shared" si="48"/>
        <v>32.25</v>
      </c>
      <c r="R242" s="226">
        <v>1</v>
      </c>
      <c r="S242" s="227">
        <f t="shared" si="49"/>
        <v>33.25</v>
      </c>
      <c r="T242" s="203" t="s">
        <v>48</v>
      </c>
      <c r="U242" s="183" t="str">
        <f t="shared" si="46"/>
        <v>33.25 Hrs</v>
      </c>
    </row>
    <row r="243" spans="3:21" s="172" customFormat="1" ht="20.25" customHeight="1">
      <c r="C243" s="185">
        <f>D243</f>
        <v>243</v>
      </c>
      <c r="D243" s="190">
        <f t="shared" si="41"/>
        <v>243</v>
      </c>
      <c r="E243" s="196" t="s">
        <v>277</v>
      </c>
      <c r="F243" s="197">
        <f>D241</f>
        <v>241</v>
      </c>
      <c r="G243" s="193"/>
      <c r="H243" s="193"/>
      <c r="I243" s="195"/>
      <c r="J243" s="195"/>
      <c r="K243" s="221"/>
      <c r="L243" s="195"/>
      <c r="M243" s="204"/>
      <c r="N243" s="195"/>
      <c r="O243" s="205"/>
      <c r="P243" s="195"/>
      <c r="Q243" s="227"/>
      <c r="R243" s="226"/>
      <c r="S243" s="227"/>
      <c r="T243" s="203"/>
      <c r="U243" s="183"/>
    </row>
    <row r="244" spans="3:21" s="172" customFormat="1" ht="20.25" customHeight="1">
      <c r="C244" s="185"/>
      <c r="D244" s="190">
        <f t="shared" si="41"/>
        <v>244</v>
      </c>
      <c r="E244" s="194" t="s">
        <v>278</v>
      </c>
      <c r="F244" s="198"/>
      <c r="G244" s="193" t="s">
        <v>224</v>
      </c>
      <c r="H244" s="193"/>
      <c r="I244" s="211">
        <v>18</v>
      </c>
      <c r="J244" s="221" t="s">
        <v>279</v>
      </c>
      <c r="K244" s="221">
        <v>1</v>
      </c>
      <c r="L244" s="195" t="s">
        <v>81</v>
      </c>
      <c r="M244" s="214">
        <f>LEFT(J244,SEARCH(" ",J244,1)-1)*K244*0.001</f>
        <v>2.5</v>
      </c>
      <c r="N244" s="195" t="s">
        <v>139</v>
      </c>
      <c r="O244" s="233">
        <f>VLOOKUP(I244,BM!$B$3:$Y$62,5,FALSE)</f>
        <v>0.5</v>
      </c>
      <c r="P244" s="195" t="s">
        <v>112</v>
      </c>
      <c r="Q244" s="227">
        <f t="shared" si="48"/>
        <v>1.25</v>
      </c>
      <c r="R244" s="226">
        <v>1</v>
      </c>
      <c r="S244" s="227">
        <f t="shared" si="49"/>
        <v>2.25</v>
      </c>
      <c r="T244" s="203" t="s">
        <v>48</v>
      </c>
      <c r="U244" s="183" t="str">
        <f t="shared" si="46"/>
        <v>2.25 Hrs</v>
      </c>
    </row>
    <row r="245" spans="3:21" s="172" customFormat="1" ht="20.25" customHeight="1">
      <c r="C245" s="185"/>
      <c r="D245" s="190">
        <f t="shared" si="41"/>
        <v>245</v>
      </c>
      <c r="E245" s="194" t="s">
        <v>278</v>
      </c>
      <c r="F245" s="198">
        <f t="shared" si="47"/>
        <v>244</v>
      </c>
      <c r="G245" s="193" t="s">
        <v>224</v>
      </c>
      <c r="H245" s="193"/>
      <c r="I245" s="220">
        <f>I244</f>
        <v>18</v>
      </c>
      <c r="J245" s="212" t="s">
        <v>279</v>
      </c>
      <c r="K245" s="221">
        <v>1</v>
      </c>
      <c r="L245" s="195" t="s">
        <v>81</v>
      </c>
      <c r="M245" s="214">
        <f>LEFT(J245,SEARCH(" ",J245,1)-1)*K245*0.001</f>
        <v>2.5</v>
      </c>
      <c r="N245" s="195" t="s">
        <v>139</v>
      </c>
      <c r="O245" s="233">
        <f>VLOOKUP(I245,BM!$B$3:$Y$62,5,FALSE)</f>
        <v>0.5</v>
      </c>
      <c r="P245" s="195" t="s">
        <v>112</v>
      </c>
      <c r="Q245" s="227">
        <f t="shared" si="48"/>
        <v>1.25</v>
      </c>
      <c r="R245" s="226">
        <v>1</v>
      </c>
      <c r="S245" s="227">
        <f t="shared" si="49"/>
        <v>2.25</v>
      </c>
      <c r="T245" s="203" t="s">
        <v>48</v>
      </c>
      <c r="U245" s="183" t="str">
        <f t="shared" si="46"/>
        <v>2.25 Hrs</v>
      </c>
    </row>
    <row r="246" spans="3:21" s="172" customFormat="1" ht="20.25" customHeight="1">
      <c r="C246" s="185"/>
      <c r="D246" s="190">
        <f t="shared" si="41"/>
        <v>246</v>
      </c>
      <c r="E246" s="194" t="s">
        <v>278</v>
      </c>
      <c r="F246" s="198">
        <f t="shared" si="47"/>
        <v>245</v>
      </c>
      <c r="G246" s="193" t="s">
        <v>224</v>
      </c>
      <c r="H246" s="193"/>
      <c r="I246" s="220">
        <f>I245</f>
        <v>18</v>
      </c>
      <c r="J246" s="221" t="s">
        <v>280</v>
      </c>
      <c r="K246" s="221">
        <v>1</v>
      </c>
      <c r="L246" s="195" t="s">
        <v>81</v>
      </c>
      <c r="M246" s="214">
        <f t="shared" ref="M246:M247" si="53">LEFT(J246,SEARCH(" ",J246,1)-1)*K246*0.001</f>
        <v>1.25</v>
      </c>
      <c r="N246" s="195" t="s">
        <v>139</v>
      </c>
      <c r="O246" s="233">
        <f>VLOOKUP(I246,BM!$B$3:$Y$62,5,FALSE)</f>
        <v>0.5</v>
      </c>
      <c r="P246" s="195" t="s">
        <v>112</v>
      </c>
      <c r="Q246" s="227">
        <f t="shared" si="48"/>
        <v>0.625</v>
      </c>
      <c r="R246" s="226">
        <v>1</v>
      </c>
      <c r="S246" s="227">
        <f t="shared" si="49"/>
        <v>1.63</v>
      </c>
      <c r="T246" s="203" t="s">
        <v>48</v>
      </c>
      <c r="U246" s="183" t="str">
        <f t="shared" si="46"/>
        <v>1.63 Hrs</v>
      </c>
    </row>
    <row r="247" spans="3:21" s="172" customFormat="1" ht="20.25" customHeight="1">
      <c r="C247" s="185"/>
      <c r="D247" s="190">
        <f t="shared" si="41"/>
        <v>247</v>
      </c>
      <c r="E247" s="194" t="s">
        <v>278</v>
      </c>
      <c r="F247" s="198">
        <f t="shared" si="47"/>
        <v>246</v>
      </c>
      <c r="G247" s="193" t="s">
        <v>224</v>
      </c>
      <c r="H247" s="193"/>
      <c r="I247" s="220">
        <f>I246</f>
        <v>18</v>
      </c>
      <c r="J247" s="221" t="s">
        <v>281</v>
      </c>
      <c r="K247" s="221">
        <v>1</v>
      </c>
      <c r="L247" s="195" t="s">
        <v>81</v>
      </c>
      <c r="M247" s="214">
        <f t="shared" si="53"/>
        <v>0</v>
      </c>
      <c r="N247" s="195" t="s">
        <v>139</v>
      </c>
      <c r="O247" s="233">
        <f>VLOOKUP(I247,BM!$B$3:$Y$62,5,FALSE)</f>
        <v>0.5</v>
      </c>
      <c r="P247" s="195" t="s">
        <v>112</v>
      </c>
      <c r="Q247" s="227">
        <f t="shared" si="48"/>
        <v>0</v>
      </c>
      <c r="R247" s="226"/>
      <c r="S247" s="227"/>
      <c r="T247" s="203" t="s">
        <v>48</v>
      </c>
      <c r="U247" s="183"/>
    </row>
    <row r="248" spans="3:21" s="172" customFormat="1" ht="20.25" customHeight="1">
      <c r="C248" s="185">
        <f>D248</f>
        <v>248</v>
      </c>
      <c r="D248" s="190">
        <f t="shared" si="41"/>
        <v>248</v>
      </c>
      <c r="E248" s="196" t="s">
        <v>282</v>
      </c>
      <c r="F248" s="197">
        <f>D243</f>
        <v>243</v>
      </c>
      <c r="G248" s="193"/>
      <c r="H248" s="193"/>
      <c r="I248" s="195"/>
      <c r="J248" s="195"/>
      <c r="K248" s="221"/>
      <c r="L248" s="195"/>
      <c r="M248" s="204"/>
      <c r="N248" s="195"/>
      <c r="O248" s="205"/>
      <c r="P248" s="195"/>
      <c r="Q248" s="227"/>
      <c r="R248" s="226"/>
      <c r="S248" s="227"/>
      <c r="T248" s="203"/>
      <c r="U248" s="183"/>
    </row>
    <row r="249" spans="3:21" s="172" customFormat="1" ht="20.25" customHeight="1">
      <c r="C249" s="185"/>
      <c r="D249" s="190">
        <f t="shared" si="41"/>
        <v>249</v>
      </c>
      <c r="E249" s="194" t="s">
        <v>283</v>
      </c>
      <c r="F249" s="198"/>
      <c r="G249" s="193" t="s">
        <v>121</v>
      </c>
      <c r="H249" s="193"/>
      <c r="I249" s="220">
        <f>I247</f>
        <v>18</v>
      </c>
      <c r="J249" s="198" t="str">
        <f t="shared" ref="J249:K252" si="54">J244</f>
        <v>2500 mm</v>
      </c>
      <c r="K249" s="212">
        <f t="shared" si="54"/>
        <v>1</v>
      </c>
      <c r="L249" s="195" t="s">
        <v>81</v>
      </c>
      <c r="M249" s="214">
        <f t="shared" ref="M249:M252" si="55">LEFT(J249,SEARCH(" ",J249,1)-1)*K249*0.001</f>
        <v>2.5</v>
      </c>
      <c r="N249" s="195" t="s">
        <v>139</v>
      </c>
      <c r="O249" s="233">
        <f>VLOOKUP(I249,BM!$B$3:$Y$62,6,FALSE)</f>
        <v>1</v>
      </c>
      <c r="P249" s="195" t="s">
        <v>112</v>
      </c>
      <c r="Q249" s="227">
        <f t="shared" si="48"/>
        <v>2.5</v>
      </c>
      <c r="R249" s="226">
        <v>1</v>
      </c>
      <c r="S249" s="227">
        <f t="shared" si="49"/>
        <v>3.5</v>
      </c>
      <c r="T249" s="203" t="s">
        <v>48</v>
      </c>
      <c r="U249" s="183" t="str">
        <f t="shared" si="46"/>
        <v>3.5 Hrs</v>
      </c>
    </row>
    <row r="250" spans="3:21" s="172" customFormat="1" ht="20.25" customHeight="1">
      <c r="C250" s="185"/>
      <c r="D250" s="190">
        <f t="shared" si="41"/>
        <v>250</v>
      </c>
      <c r="E250" s="194" t="s">
        <v>283</v>
      </c>
      <c r="F250" s="198">
        <f t="shared" si="47"/>
        <v>249</v>
      </c>
      <c r="G250" s="193" t="s">
        <v>121</v>
      </c>
      <c r="H250" s="193"/>
      <c r="I250" s="220">
        <f>I247</f>
        <v>18</v>
      </c>
      <c r="J250" s="198" t="str">
        <f t="shared" si="54"/>
        <v>2500 mm</v>
      </c>
      <c r="K250" s="212">
        <f t="shared" si="54"/>
        <v>1</v>
      </c>
      <c r="L250" s="195" t="s">
        <v>81</v>
      </c>
      <c r="M250" s="214">
        <f t="shared" si="55"/>
        <v>2.5</v>
      </c>
      <c r="N250" s="195" t="s">
        <v>139</v>
      </c>
      <c r="O250" s="233">
        <f>VLOOKUP(I250,BM!$B$3:$Y$62,6,FALSE)</f>
        <v>1</v>
      </c>
      <c r="P250" s="195" t="s">
        <v>112</v>
      </c>
      <c r="Q250" s="227">
        <f t="shared" si="48"/>
        <v>2.5</v>
      </c>
      <c r="R250" s="226">
        <v>1</v>
      </c>
      <c r="S250" s="227">
        <f t="shared" si="49"/>
        <v>3.5</v>
      </c>
      <c r="T250" s="203" t="s">
        <v>48</v>
      </c>
      <c r="U250" s="183" t="str">
        <f t="shared" si="46"/>
        <v>3.5 Hrs</v>
      </c>
    </row>
    <row r="251" spans="3:21" s="172" customFormat="1" ht="20.25" customHeight="1">
      <c r="C251" s="185"/>
      <c r="D251" s="190">
        <f t="shared" si="41"/>
        <v>251</v>
      </c>
      <c r="E251" s="194" t="s">
        <v>283</v>
      </c>
      <c r="F251" s="198">
        <f t="shared" si="47"/>
        <v>250</v>
      </c>
      <c r="G251" s="193" t="s">
        <v>121</v>
      </c>
      <c r="H251" s="193"/>
      <c r="I251" s="220">
        <f>I247</f>
        <v>18</v>
      </c>
      <c r="J251" s="198" t="str">
        <f t="shared" si="54"/>
        <v>1250 mm</v>
      </c>
      <c r="K251" s="212">
        <f t="shared" si="54"/>
        <v>1</v>
      </c>
      <c r="L251" s="195" t="s">
        <v>81</v>
      </c>
      <c r="M251" s="214">
        <f t="shared" si="55"/>
        <v>1.25</v>
      </c>
      <c r="N251" s="195" t="s">
        <v>139</v>
      </c>
      <c r="O251" s="233">
        <f>VLOOKUP(I251,BM!$B$3:$Y$62,6,FALSE)</f>
        <v>1</v>
      </c>
      <c r="P251" s="195" t="s">
        <v>112</v>
      </c>
      <c r="Q251" s="227">
        <f t="shared" si="48"/>
        <v>1.25</v>
      </c>
      <c r="R251" s="226">
        <v>1</v>
      </c>
      <c r="S251" s="227">
        <f t="shared" si="49"/>
        <v>2.25</v>
      </c>
      <c r="T251" s="203" t="s">
        <v>48</v>
      </c>
      <c r="U251" s="183" t="str">
        <f t="shared" si="46"/>
        <v>2.25 Hrs</v>
      </c>
    </row>
    <row r="252" spans="3:21" s="172" customFormat="1" ht="20.25" customHeight="1">
      <c r="C252" s="185"/>
      <c r="D252" s="190">
        <f t="shared" si="41"/>
        <v>252</v>
      </c>
      <c r="E252" s="194" t="s">
        <v>283</v>
      </c>
      <c r="F252" s="198">
        <f t="shared" si="47"/>
        <v>251</v>
      </c>
      <c r="G252" s="193" t="s">
        <v>121</v>
      </c>
      <c r="H252" s="193"/>
      <c r="I252" s="220">
        <f>I247</f>
        <v>18</v>
      </c>
      <c r="J252" s="198" t="str">
        <f t="shared" si="54"/>
        <v>0 mm</v>
      </c>
      <c r="K252" s="212">
        <f t="shared" si="54"/>
        <v>1</v>
      </c>
      <c r="L252" s="195" t="s">
        <v>81</v>
      </c>
      <c r="M252" s="214">
        <f t="shared" si="55"/>
        <v>0</v>
      </c>
      <c r="N252" s="195" t="s">
        <v>139</v>
      </c>
      <c r="O252" s="233">
        <f>VLOOKUP(I252,BM!$B$3:$Y$62,6,FALSE)</f>
        <v>1</v>
      </c>
      <c r="P252" s="195" t="s">
        <v>112</v>
      </c>
      <c r="Q252" s="227">
        <f t="shared" si="48"/>
        <v>0</v>
      </c>
      <c r="R252" s="226">
        <v>1</v>
      </c>
      <c r="S252" s="227">
        <f t="shared" si="49"/>
        <v>1</v>
      </c>
      <c r="T252" s="203" t="s">
        <v>48</v>
      </c>
      <c r="U252" s="183" t="str">
        <f t="shared" si="46"/>
        <v>1 Hrs</v>
      </c>
    </row>
    <row r="253" spans="3:21" s="172" customFormat="1" ht="20.25" customHeight="1">
      <c r="C253" s="185">
        <f>D253</f>
        <v>253</v>
      </c>
      <c r="D253" s="190">
        <f t="shared" si="41"/>
        <v>253</v>
      </c>
      <c r="E253" s="196" t="s">
        <v>284</v>
      </c>
      <c r="F253" s="197">
        <f>D248</f>
        <v>248</v>
      </c>
      <c r="G253" s="193"/>
      <c r="H253" s="193"/>
      <c r="I253" s="195"/>
      <c r="J253" s="195"/>
      <c r="K253" s="221"/>
      <c r="L253" s="195"/>
      <c r="M253" s="204"/>
      <c r="N253" s="195"/>
      <c r="O253" s="205"/>
      <c r="P253" s="195"/>
      <c r="Q253" s="227"/>
      <c r="R253" s="226"/>
      <c r="S253" s="227"/>
      <c r="T253" s="203"/>
      <c r="U253" s="183"/>
    </row>
    <row r="254" spans="3:21" s="172" customFormat="1" ht="20.25" customHeight="1">
      <c r="C254" s="185"/>
      <c r="D254" s="190">
        <f t="shared" si="41"/>
        <v>254</v>
      </c>
      <c r="E254" s="194" t="s">
        <v>285</v>
      </c>
      <c r="F254" s="198"/>
      <c r="G254" s="193" t="s">
        <v>286</v>
      </c>
      <c r="H254" s="193"/>
      <c r="I254" s="220">
        <f>I252</f>
        <v>18</v>
      </c>
      <c r="J254" s="198" t="str">
        <f t="shared" ref="J254:K257" si="56">J249</f>
        <v>2500 mm</v>
      </c>
      <c r="K254" s="212">
        <f t="shared" si="56"/>
        <v>1</v>
      </c>
      <c r="L254" s="195" t="s">
        <v>81</v>
      </c>
      <c r="M254" s="214">
        <v>1</v>
      </c>
      <c r="N254" s="195" t="s">
        <v>39</v>
      </c>
      <c r="O254" s="233">
        <f>VLOOKUP(I254,BM!$B$3:$Y$62,8,FALSE)</f>
        <v>0.3</v>
      </c>
      <c r="P254" s="195" t="s">
        <v>112</v>
      </c>
      <c r="Q254" s="227">
        <f t="shared" si="48"/>
        <v>0.3</v>
      </c>
      <c r="R254" s="226">
        <v>1</v>
      </c>
      <c r="S254" s="227">
        <f t="shared" si="49"/>
        <v>1.3</v>
      </c>
      <c r="T254" s="203" t="s">
        <v>48</v>
      </c>
      <c r="U254" s="183" t="str">
        <f t="shared" si="46"/>
        <v>1.3 Hrs</v>
      </c>
    </row>
    <row r="255" spans="3:21" s="172" customFormat="1" ht="20.25" customHeight="1">
      <c r="C255" s="185"/>
      <c r="D255" s="190">
        <f t="shared" si="41"/>
        <v>255</v>
      </c>
      <c r="E255" s="194" t="s">
        <v>285</v>
      </c>
      <c r="F255" s="198">
        <f t="shared" si="47"/>
        <v>254</v>
      </c>
      <c r="G255" s="193" t="s">
        <v>286</v>
      </c>
      <c r="H255" s="193"/>
      <c r="I255" s="220">
        <f>I252</f>
        <v>18</v>
      </c>
      <c r="J255" s="198" t="str">
        <f t="shared" si="56"/>
        <v>2500 mm</v>
      </c>
      <c r="K255" s="212">
        <f t="shared" si="56"/>
        <v>1</v>
      </c>
      <c r="L255" s="195" t="s">
        <v>81</v>
      </c>
      <c r="M255" s="214">
        <v>1</v>
      </c>
      <c r="N255" s="195" t="str">
        <f>N254</f>
        <v>No</v>
      </c>
      <c r="O255" s="233">
        <f>VLOOKUP(I255,BM!$B$3:$Y$62,8,FALSE)</f>
        <v>0.3</v>
      </c>
      <c r="P255" s="195" t="s">
        <v>112</v>
      </c>
      <c r="Q255" s="227">
        <f t="shared" si="48"/>
        <v>0.3</v>
      </c>
      <c r="R255" s="226">
        <v>1</v>
      </c>
      <c r="S255" s="227">
        <f t="shared" si="49"/>
        <v>1.3</v>
      </c>
      <c r="T255" s="203" t="s">
        <v>48</v>
      </c>
      <c r="U255" s="183" t="str">
        <f t="shared" si="46"/>
        <v>1.3 Hrs</v>
      </c>
    </row>
    <row r="256" spans="3:21" s="172" customFormat="1" ht="20.25" customHeight="1">
      <c r="C256" s="185"/>
      <c r="D256" s="190">
        <f t="shared" si="41"/>
        <v>256</v>
      </c>
      <c r="E256" s="194" t="s">
        <v>285</v>
      </c>
      <c r="F256" s="198">
        <f t="shared" si="47"/>
        <v>255</v>
      </c>
      <c r="G256" s="193" t="s">
        <v>286</v>
      </c>
      <c r="H256" s="193"/>
      <c r="I256" s="220">
        <f>I252</f>
        <v>18</v>
      </c>
      <c r="J256" s="198" t="str">
        <f t="shared" si="56"/>
        <v>1250 mm</v>
      </c>
      <c r="K256" s="212">
        <f t="shared" si="56"/>
        <v>1</v>
      </c>
      <c r="L256" s="195" t="s">
        <v>81</v>
      </c>
      <c r="M256" s="214">
        <v>1</v>
      </c>
      <c r="N256" s="195" t="str">
        <f>N255</f>
        <v>No</v>
      </c>
      <c r="O256" s="233">
        <f>VLOOKUP(I256,BM!$B$3:$Y$62,8,FALSE)</f>
        <v>0.3</v>
      </c>
      <c r="P256" s="195" t="s">
        <v>112</v>
      </c>
      <c r="Q256" s="227">
        <f t="shared" si="48"/>
        <v>0.3</v>
      </c>
      <c r="R256" s="226">
        <v>1</v>
      </c>
      <c r="S256" s="227">
        <f t="shared" si="49"/>
        <v>1.3</v>
      </c>
      <c r="T256" s="203" t="s">
        <v>48</v>
      </c>
      <c r="U256" s="183" t="str">
        <f t="shared" si="46"/>
        <v>1.3 Hrs</v>
      </c>
    </row>
    <row r="257" spans="3:21" s="172" customFormat="1" ht="20.25" customHeight="1">
      <c r="C257" s="185"/>
      <c r="D257" s="190">
        <f t="shared" si="41"/>
        <v>257</v>
      </c>
      <c r="E257" s="194" t="s">
        <v>285</v>
      </c>
      <c r="F257" s="198">
        <f t="shared" si="47"/>
        <v>256</v>
      </c>
      <c r="G257" s="193" t="s">
        <v>286</v>
      </c>
      <c r="H257" s="193"/>
      <c r="I257" s="220">
        <f>I252</f>
        <v>18</v>
      </c>
      <c r="J257" s="198" t="str">
        <f t="shared" si="56"/>
        <v>0 mm</v>
      </c>
      <c r="K257" s="212">
        <v>0</v>
      </c>
      <c r="L257" s="195" t="s">
        <v>81</v>
      </c>
      <c r="M257" s="214">
        <v>0</v>
      </c>
      <c r="N257" s="195" t="str">
        <f>N256</f>
        <v>No</v>
      </c>
      <c r="O257" s="233">
        <f>VLOOKUP(I257,BM!$B$3:$Y$62,8,FALSE)</f>
        <v>0.3</v>
      </c>
      <c r="P257" s="195" t="s">
        <v>112</v>
      </c>
      <c r="Q257" s="227">
        <f t="shared" si="48"/>
        <v>0</v>
      </c>
      <c r="R257" s="226"/>
      <c r="S257" s="227"/>
      <c r="T257" s="203" t="s">
        <v>48</v>
      </c>
      <c r="U257" s="183"/>
    </row>
    <row r="258" spans="3:21" s="172" customFormat="1" ht="20.25" customHeight="1">
      <c r="C258" s="185">
        <f>D258</f>
        <v>258</v>
      </c>
      <c r="D258" s="190">
        <f t="shared" si="41"/>
        <v>258</v>
      </c>
      <c r="E258" s="196" t="s">
        <v>287</v>
      </c>
      <c r="F258" s="197">
        <f>D253</f>
        <v>253</v>
      </c>
      <c r="G258" s="193"/>
      <c r="H258" s="193"/>
      <c r="I258" s="195"/>
      <c r="J258" s="195"/>
      <c r="K258" s="221"/>
      <c r="L258" s="195"/>
      <c r="M258" s="204"/>
      <c r="N258" s="195"/>
      <c r="O258" s="205"/>
      <c r="P258" s="195"/>
      <c r="Q258" s="227"/>
      <c r="R258" s="226"/>
      <c r="S258" s="227"/>
      <c r="T258" s="203"/>
      <c r="U258" s="183"/>
    </row>
    <row r="259" spans="3:21" s="172" customFormat="1" ht="20.25" customHeight="1">
      <c r="C259" s="185"/>
      <c r="D259" s="190">
        <f t="shared" ref="D259:D322" si="57">D258+1</f>
        <v>259</v>
      </c>
      <c r="E259" s="194" t="s">
        <v>288</v>
      </c>
      <c r="F259" s="198"/>
      <c r="G259" s="193" t="s">
        <v>289</v>
      </c>
      <c r="H259" s="193"/>
      <c r="I259" s="220">
        <f>I257</f>
        <v>18</v>
      </c>
      <c r="J259" s="198" t="str">
        <f>J254</f>
        <v>2500 mm</v>
      </c>
      <c r="K259" s="221">
        <v>1</v>
      </c>
      <c r="L259" s="195" t="s">
        <v>81</v>
      </c>
      <c r="M259" s="222">
        <v>1</v>
      </c>
      <c r="N259" s="195" t="s">
        <v>81</v>
      </c>
      <c r="O259" s="233">
        <f>VLOOKUP(I259,BM!$B$3:$Y$62,8,FALSE)</f>
        <v>0.3</v>
      </c>
      <c r="P259" s="195" t="s">
        <v>112</v>
      </c>
      <c r="Q259" s="227">
        <f t="shared" si="48"/>
        <v>0.3</v>
      </c>
      <c r="R259" s="226">
        <v>1</v>
      </c>
      <c r="S259" s="227">
        <f t="shared" si="49"/>
        <v>1.3</v>
      </c>
      <c r="T259" s="203" t="s">
        <v>48</v>
      </c>
      <c r="U259" s="183" t="str">
        <f t="shared" si="46"/>
        <v>1.3 Hrs</v>
      </c>
    </row>
    <row r="260" spans="3:21" s="172" customFormat="1" ht="20.25" customHeight="1">
      <c r="C260" s="185"/>
      <c r="D260" s="190">
        <f t="shared" si="57"/>
        <v>260</v>
      </c>
      <c r="E260" s="194" t="s">
        <v>288</v>
      </c>
      <c r="F260" s="198">
        <f t="shared" si="47"/>
        <v>259</v>
      </c>
      <c r="G260" s="193" t="s">
        <v>289</v>
      </c>
      <c r="H260" s="193"/>
      <c r="I260" s="220">
        <f>I257</f>
        <v>18</v>
      </c>
      <c r="J260" s="198" t="str">
        <f>J255</f>
        <v>2500 mm</v>
      </c>
      <c r="K260" s="221">
        <v>1</v>
      </c>
      <c r="L260" s="195" t="s">
        <v>81</v>
      </c>
      <c r="M260" s="222">
        <v>1</v>
      </c>
      <c r="N260" s="195" t="s">
        <v>81</v>
      </c>
      <c r="O260" s="233">
        <f>VLOOKUP(I260,BM!$B$3:$Y$62,8,FALSE)</f>
        <v>0.3</v>
      </c>
      <c r="P260" s="195" t="s">
        <v>112</v>
      </c>
      <c r="Q260" s="227">
        <f t="shared" si="48"/>
        <v>0.3</v>
      </c>
      <c r="R260" s="226">
        <v>1</v>
      </c>
      <c r="S260" s="227">
        <f t="shared" si="49"/>
        <v>1.3</v>
      </c>
      <c r="T260" s="203" t="s">
        <v>48</v>
      </c>
      <c r="U260" s="183" t="str">
        <f t="shared" si="46"/>
        <v>1.3 Hrs</v>
      </c>
    </row>
    <row r="261" spans="3:21" s="172" customFormat="1" ht="20.25" customHeight="1">
      <c r="C261" s="185"/>
      <c r="D261" s="190">
        <f t="shared" si="57"/>
        <v>261</v>
      </c>
      <c r="E261" s="194" t="s">
        <v>288</v>
      </c>
      <c r="F261" s="198">
        <f t="shared" si="47"/>
        <v>260</v>
      </c>
      <c r="G261" s="193" t="s">
        <v>289</v>
      </c>
      <c r="H261" s="193"/>
      <c r="I261" s="220">
        <f>I257</f>
        <v>18</v>
      </c>
      <c r="J261" s="198" t="str">
        <f>J256</f>
        <v>1250 mm</v>
      </c>
      <c r="K261" s="221">
        <v>1</v>
      </c>
      <c r="L261" s="195" t="s">
        <v>81</v>
      </c>
      <c r="M261" s="222">
        <v>1</v>
      </c>
      <c r="N261" s="195" t="s">
        <v>81</v>
      </c>
      <c r="O261" s="233">
        <f>VLOOKUP(I261,BM!$B$3:$Y$62,8,FALSE)</f>
        <v>0.3</v>
      </c>
      <c r="P261" s="195" t="s">
        <v>112</v>
      </c>
      <c r="Q261" s="227">
        <f t="shared" si="48"/>
        <v>0.3</v>
      </c>
      <c r="R261" s="226">
        <v>1</v>
      </c>
      <c r="S261" s="227">
        <f t="shared" si="49"/>
        <v>1.3</v>
      </c>
      <c r="T261" s="203" t="s">
        <v>48</v>
      </c>
      <c r="U261" s="183" t="str">
        <f t="shared" si="46"/>
        <v>1.3 Hrs</v>
      </c>
    </row>
    <row r="262" spans="3:21" s="172" customFormat="1" ht="20.25" customHeight="1">
      <c r="C262" s="185"/>
      <c r="D262" s="190">
        <f t="shared" si="57"/>
        <v>262</v>
      </c>
      <c r="E262" s="194" t="s">
        <v>288</v>
      </c>
      <c r="F262" s="198">
        <f t="shared" si="47"/>
        <v>261</v>
      </c>
      <c r="G262" s="193" t="s">
        <v>289</v>
      </c>
      <c r="H262" s="193"/>
      <c r="I262" s="220">
        <f>I257</f>
        <v>18</v>
      </c>
      <c r="J262" s="198" t="str">
        <f>J257</f>
        <v>0 mm</v>
      </c>
      <c r="K262" s="221">
        <v>1</v>
      </c>
      <c r="L262" s="195" t="s">
        <v>81</v>
      </c>
      <c r="M262" s="222">
        <v>0</v>
      </c>
      <c r="N262" s="195" t="s">
        <v>81</v>
      </c>
      <c r="O262" s="233">
        <f>VLOOKUP(I262,BM!$B$3:$Y$62,8,FALSE)</f>
        <v>0.3</v>
      </c>
      <c r="P262" s="195" t="s">
        <v>112</v>
      </c>
      <c r="Q262" s="227">
        <f t="shared" si="48"/>
        <v>0</v>
      </c>
      <c r="R262" s="226">
        <v>1</v>
      </c>
      <c r="S262" s="227">
        <f t="shared" si="49"/>
        <v>1</v>
      </c>
      <c r="T262" s="203" t="s">
        <v>48</v>
      </c>
      <c r="U262" s="183" t="str">
        <f t="shared" si="46"/>
        <v>1 Hrs</v>
      </c>
    </row>
    <row r="263" spans="3:21" s="172" customFormat="1" ht="20.25" customHeight="1">
      <c r="C263" s="185">
        <f>D263</f>
        <v>263</v>
      </c>
      <c r="D263" s="190">
        <f t="shared" si="57"/>
        <v>263</v>
      </c>
      <c r="E263" s="196" t="s">
        <v>290</v>
      </c>
      <c r="F263" s="197">
        <f>D258</f>
        <v>258</v>
      </c>
      <c r="G263" s="193"/>
      <c r="H263" s="193"/>
      <c r="I263" s="195"/>
      <c r="J263" s="195"/>
      <c r="K263" s="221"/>
      <c r="L263" s="195"/>
      <c r="M263" s="204"/>
      <c r="N263" s="195"/>
      <c r="O263" s="205"/>
      <c r="P263" s="195"/>
      <c r="Q263" s="227"/>
      <c r="R263" s="226"/>
      <c r="S263" s="227"/>
      <c r="T263" s="203"/>
      <c r="U263" s="183"/>
    </row>
    <row r="264" spans="3:21" s="172" customFormat="1" ht="20.25" customHeight="1">
      <c r="C264" s="185"/>
      <c r="D264" s="190">
        <f t="shared" si="57"/>
        <v>264</v>
      </c>
      <c r="E264" s="194" t="s">
        <v>291</v>
      </c>
      <c r="F264" s="198"/>
      <c r="G264" s="193" t="s">
        <v>44</v>
      </c>
      <c r="H264" s="193"/>
      <c r="I264" s="220">
        <f>I262</f>
        <v>18</v>
      </c>
      <c r="J264" s="198" t="str">
        <f>J259</f>
        <v>2500 mm</v>
      </c>
      <c r="K264" s="221">
        <v>1</v>
      </c>
      <c r="L264" s="195" t="s">
        <v>81</v>
      </c>
      <c r="M264" s="214">
        <f t="shared" ref="M264:M267" si="58">LEFT(J264,SEARCH(" ",J264,1)-1)*K264*0.001</f>
        <v>2.5</v>
      </c>
      <c r="N264" s="195" t="s">
        <v>139</v>
      </c>
      <c r="O264" s="233">
        <f>VLOOKUP(I264,BM!$B$3:$Y$62,9,FALSE)</f>
        <v>1</v>
      </c>
      <c r="P264" s="195" t="s">
        <v>112</v>
      </c>
      <c r="Q264" s="227">
        <f t="shared" si="48"/>
        <v>2.5</v>
      </c>
      <c r="R264" s="226">
        <v>1</v>
      </c>
      <c r="S264" s="227">
        <f t="shared" si="49"/>
        <v>3.5</v>
      </c>
      <c r="T264" s="203" t="s">
        <v>48</v>
      </c>
      <c r="U264" s="183" t="str">
        <f t="shared" si="46"/>
        <v>3.5 Hrs</v>
      </c>
    </row>
    <row r="265" spans="3:21" s="172" customFormat="1" ht="20.25" customHeight="1">
      <c r="C265" s="185"/>
      <c r="D265" s="190">
        <f t="shared" si="57"/>
        <v>265</v>
      </c>
      <c r="E265" s="194" t="s">
        <v>291</v>
      </c>
      <c r="F265" s="198">
        <f t="shared" si="47"/>
        <v>264</v>
      </c>
      <c r="G265" s="193" t="s">
        <v>44</v>
      </c>
      <c r="H265" s="193"/>
      <c r="I265" s="220">
        <f>I262</f>
        <v>18</v>
      </c>
      <c r="J265" s="198" t="str">
        <f>J260</f>
        <v>2500 mm</v>
      </c>
      <c r="K265" s="221">
        <v>1</v>
      </c>
      <c r="L265" s="195" t="s">
        <v>81</v>
      </c>
      <c r="M265" s="214">
        <f t="shared" si="58"/>
        <v>2.5</v>
      </c>
      <c r="N265" s="195" t="s">
        <v>139</v>
      </c>
      <c r="O265" s="233">
        <f>VLOOKUP(I265,BM!$B$3:$Y$62,9,FALSE)</f>
        <v>1</v>
      </c>
      <c r="P265" s="195" t="s">
        <v>112</v>
      </c>
      <c r="Q265" s="227">
        <f t="shared" si="48"/>
        <v>2.5</v>
      </c>
      <c r="R265" s="226">
        <v>1</v>
      </c>
      <c r="S265" s="227">
        <f t="shared" si="49"/>
        <v>3.5</v>
      </c>
      <c r="T265" s="203" t="s">
        <v>48</v>
      </c>
      <c r="U265" s="183" t="str">
        <f t="shared" si="46"/>
        <v>3.5 Hrs</v>
      </c>
    </row>
    <row r="266" spans="3:21" s="172" customFormat="1" ht="20.25" customHeight="1">
      <c r="C266" s="185"/>
      <c r="D266" s="190">
        <f t="shared" si="57"/>
        <v>266</v>
      </c>
      <c r="E266" s="194" t="s">
        <v>291</v>
      </c>
      <c r="F266" s="198">
        <f t="shared" si="47"/>
        <v>265</v>
      </c>
      <c r="G266" s="193" t="s">
        <v>44</v>
      </c>
      <c r="H266" s="193"/>
      <c r="I266" s="220">
        <f>I262</f>
        <v>18</v>
      </c>
      <c r="J266" s="198" t="str">
        <f>J261</f>
        <v>1250 mm</v>
      </c>
      <c r="K266" s="221">
        <v>1</v>
      </c>
      <c r="L266" s="195" t="s">
        <v>81</v>
      </c>
      <c r="M266" s="214">
        <f t="shared" si="58"/>
        <v>1.25</v>
      </c>
      <c r="N266" s="195" t="s">
        <v>139</v>
      </c>
      <c r="O266" s="233">
        <f>VLOOKUP(I266,BM!$B$3:$Y$62,9,FALSE)</f>
        <v>1</v>
      </c>
      <c r="P266" s="195" t="s">
        <v>112</v>
      </c>
      <c r="Q266" s="227">
        <f t="shared" si="48"/>
        <v>1.25</v>
      </c>
      <c r="R266" s="226">
        <v>1</v>
      </c>
      <c r="S266" s="227">
        <f t="shared" si="49"/>
        <v>2.25</v>
      </c>
      <c r="T266" s="203" t="s">
        <v>48</v>
      </c>
      <c r="U266" s="183" t="str">
        <f t="shared" si="46"/>
        <v>2.25 Hrs</v>
      </c>
    </row>
    <row r="267" spans="3:21" s="172" customFormat="1" ht="20.25" customHeight="1">
      <c r="C267" s="185"/>
      <c r="D267" s="190">
        <f t="shared" si="57"/>
        <v>267</v>
      </c>
      <c r="E267" s="194" t="s">
        <v>291</v>
      </c>
      <c r="F267" s="198">
        <f t="shared" si="47"/>
        <v>266</v>
      </c>
      <c r="G267" s="193" t="s">
        <v>44</v>
      </c>
      <c r="H267" s="193"/>
      <c r="I267" s="220">
        <f>I262</f>
        <v>18</v>
      </c>
      <c r="J267" s="198" t="str">
        <f>J262</f>
        <v>0 mm</v>
      </c>
      <c r="K267" s="221">
        <v>1</v>
      </c>
      <c r="L267" s="195" t="s">
        <v>81</v>
      </c>
      <c r="M267" s="214">
        <f t="shared" si="58"/>
        <v>0</v>
      </c>
      <c r="N267" s="195" t="s">
        <v>139</v>
      </c>
      <c r="O267" s="233">
        <f>VLOOKUP(I267,BM!$B$3:$Y$62,9,FALSE)</f>
        <v>1</v>
      </c>
      <c r="P267" s="195" t="s">
        <v>112</v>
      </c>
      <c r="Q267" s="227">
        <f t="shared" si="48"/>
        <v>0</v>
      </c>
      <c r="R267" s="226">
        <v>1</v>
      </c>
      <c r="S267" s="227">
        <f t="shared" si="49"/>
        <v>1</v>
      </c>
      <c r="T267" s="203" t="s">
        <v>48</v>
      </c>
      <c r="U267" s="183" t="str">
        <f t="shared" si="46"/>
        <v>1 Hrs</v>
      </c>
    </row>
    <row r="268" spans="3:21" s="172" customFormat="1" ht="20.25" customHeight="1">
      <c r="C268" s="185">
        <f>D268</f>
        <v>268</v>
      </c>
      <c r="D268" s="190">
        <f t="shared" si="57"/>
        <v>268</v>
      </c>
      <c r="E268" s="196" t="s">
        <v>292</v>
      </c>
      <c r="F268" s="197">
        <f>D263</f>
        <v>263</v>
      </c>
      <c r="G268" s="193"/>
      <c r="H268" s="193"/>
      <c r="I268" s="195"/>
      <c r="J268" s="195"/>
      <c r="K268" s="221"/>
      <c r="L268" s="195"/>
      <c r="M268" s="204"/>
      <c r="N268" s="195"/>
      <c r="O268" s="205"/>
      <c r="P268" s="195"/>
      <c r="Q268" s="227"/>
      <c r="R268" s="226"/>
      <c r="S268" s="227"/>
      <c r="T268" s="203"/>
      <c r="U268" s="183"/>
    </row>
    <row r="269" spans="3:21" s="172" customFormat="1" ht="20.25" customHeight="1">
      <c r="C269" s="185"/>
      <c r="D269" s="190">
        <f t="shared" si="57"/>
        <v>269</v>
      </c>
      <c r="E269" s="194" t="s">
        <v>293</v>
      </c>
      <c r="F269" s="198"/>
      <c r="G269" s="193" t="s">
        <v>286</v>
      </c>
      <c r="H269" s="193"/>
      <c r="I269" s="220">
        <f>I267</f>
        <v>18</v>
      </c>
      <c r="J269" s="198" t="str">
        <f>J264</f>
        <v>2500 mm</v>
      </c>
      <c r="K269" s="221">
        <v>1</v>
      </c>
      <c r="L269" s="195" t="s">
        <v>81</v>
      </c>
      <c r="M269" s="222">
        <f>K269</f>
        <v>1</v>
      </c>
      <c r="N269" s="195" t="s">
        <v>39</v>
      </c>
      <c r="O269" s="205">
        <v>3</v>
      </c>
      <c r="P269" s="195" t="s">
        <v>112</v>
      </c>
      <c r="Q269" s="227">
        <f t="shared" si="48"/>
        <v>3</v>
      </c>
      <c r="R269" s="226">
        <v>1</v>
      </c>
      <c r="S269" s="227">
        <f t="shared" si="49"/>
        <v>4</v>
      </c>
      <c r="T269" s="203" t="s">
        <v>48</v>
      </c>
      <c r="U269" s="183" t="str">
        <f t="shared" si="46"/>
        <v>4 Hrs</v>
      </c>
    </row>
    <row r="270" spans="3:21" s="172" customFormat="1" ht="20.25" customHeight="1">
      <c r="C270" s="185"/>
      <c r="D270" s="190">
        <f t="shared" si="57"/>
        <v>270</v>
      </c>
      <c r="E270" s="194" t="s">
        <v>294</v>
      </c>
      <c r="F270" s="198">
        <f t="shared" si="47"/>
        <v>269</v>
      </c>
      <c r="G270" s="193" t="s">
        <v>286</v>
      </c>
      <c r="H270" s="193"/>
      <c r="I270" s="220">
        <f>I267</f>
        <v>18</v>
      </c>
      <c r="J270" s="198" t="str">
        <f>J265</f>
        <v>2500 mm</v>
      </c>
      <c r="K270" s="221">
        <v>1</v>
      </c>
      <c r="L270" s="195" t="s">
        <v>81</v>
      </c>
      <c r="M270" s="222">
        <f>K270</f>
        <v>1</v>
      </c>
      <c r="N270" s="195" t="s">
        <v>39</v>
      </c>
      <c r="O270" s="233">
        <f>O269</f>
        <v>3</v>
      </c>
      <c r="P270" s="195" t="s">
        <v>112</v>
      </c>
      <c r="Q270" s="227">
        <f t="shared" si="48"/>
        <v>3</v>
      </c>
      <c r="R270" s="226">
        <v>1</v>
      </c>
      <c r="S270" s="227">
        <f t="shared" si="49"/>
        <v>4</v>
      </c>
      <c r="T270" s="203" t="s">
        <v>48</v>
      </c>
      <c r="U270" s="183" t="str">
        <f t="shared" si="46"/>
        <v>4 Hrs</v>
      </c>
    </row>
    <row r="271" spans="3:21" s="172" customFormat="1" ht="20.25" customHeight="1">
      <c r="C271" s="185"/>
      <c r="D271" s="190">
        <f t="shared" si="57"/>
        <v>271</v>
      </c>
      <c r="E271" s="194" t="s">
        <v>294</v>
      </c>
      <c r="F271" s="198">
        <f t="shared" si="47"/>
        <v>270</v>
      </c>
      <c r="G271" s="193" t="s">
        <v>286</v>
      </c>
      <c r="H271" s="193"/>
      <c r="I271" s="220">
        <f>I267</f>
        <v>18</v>
      </c>
      <c r="J271" s="198" t="str">
        <f>J266</f>
        <v>1250 mm</v>
      </c>
      <c r="K271" s="221">
        <v>1</v>
      </c>
      <c r="L271" s="195" t="s">
        <v>81</v>
      </c>
      <c r="M271" s="222">
        <f>K271</f>
        <v>1</v>
      </c>
      <c r="N271" s="195" t="s">
        <v>39</v>
      </c>
      <c r="O271" s="233">
        <f>O270</f>
        <v>3</v>
      </c>
      <c r="P271" s="195" t="s">
        <v>112</v>
      </c>
      <c r="Q271" s="227">
        <f t="shared" si="48"/>
        <v>3</v>
      </c>
      <c r="R271" s="226">
        <v>1</v>
      </c>
      <c r="S271" s="227">
        <f t="shared" si="49"/>
        <v>4</v>
      </c>
      <c r="T271" s="203" t="s">
        <v>48</v>
      </c>
      <c r="U271" s="183" t="str">
        <f t="shared" si="46"/>
        <v>4 Hrs</v>
      </c>
    </row>
    <row r="272" spans="3:21" s="172" customFormat="1" ht="20.25" customHeight="1">
      <c r="C272" s="185"/>
      <c r="D272" s="190">
        <f t="shared" si="57"/>
        <v>272</v>
      </c>
      <c r="E272" s="194" t="s">
        <v>294</v>
      </c>
      <c r="F272" s="198">
        <f t="shared" si="47"/>
        <v>271</v>
      </c>
      <c r="G272" s="193" t="s">
        <v>286</v>
      </c>
      <c r="H272" s="193"/>
      <c r="I272" s="220">
        <f>I267</f>
        <v>18</v>
      </c>
      <c r="J272" s="198" t="str">
        <f>J267</f>
        <v>0 mm</v>
      </c>
      <c r="K272" s="221">
        <v>1</v>
      </c>
      <c r="L272" s="195" t="s">
        <v>81</v>
      </c>
      <c r="M272" s="222">
        <f>K272</f>
        <v>1</v>
      </c>
      <c r="N272" s="195" t="s">
        <v>39</v>
      </c>
      <c r="O272" s="233">
        <f>O271</f>
        <v>3</v>
      </c>
      <c r="P272" s="195" t="s">
        <v>112</v>
      </c>
      <c r="Q272" s="227">
        <f t="shared" si="48"/>
        <v>3</v>
      </c>
      <c r="R272" s="226">
        <v>1</v>
      </c>
      <c r="S272" s="227">
        <f t="shared" si="49"/>
        <v>4</v>
      </c>
      <c r="T272" s="203" t="s">
        <v>48</v>
      </c>
      <c r="U272" s="183" t="str">
        <f t="shared" si="46"/>
        <v>4 Hrs</v>
      </c>
    </row>
    <row r="273" spans="3:21" s="172" customFormat="1" ht="20.25" customHeight="1">
      <c r="C273" s="185">
        <f>D273</f>
        <v>273</v>
      </c>
      <c r="D273" s="190">
        <f t="shared" si="57"/>
        <v>273</v>
      </c>
      <c r="E273" s="196" t="s">
        <v>295</v>
      </c>
      <c r="F273" s="197">
        <f>D268</f>
        <v>268</v>
      </c>
      <c r="G273" s="193"/>
      <c r="H273" s="193"/>
      <c r="I273" s="195"/>
      <c r="J273" s="195"/>
      <c r="K273" s="221"/>
      <c r="L273" s="195"/>
      <c r="M273" s="204"/>
      <c r="N273" s="195"/>
      <c r="O273" s="205"/>
      <c r="P273" s="195"/>
      <c r="Q273" s="227">
        <f t="shared" si="48"/>
        <v>0</v>
      </c>
      <c r="R273" s="226"/>
      <c r="S273" s="227"/>
      <c r="T273" s="203"/>
      <c r="U273" s="183"/>
    </row>
    <row r="274" spans="3:21" s="172" customFormat="1" ht="20.25" customHeight="1">
      <c r="C274" s="185"/>
      <c r="D274" s="190">
        <f t="shared" si="57"/>
        <v>274</v>
      </c>
      <c r="E274" s="194" t="s">
        <v>296</v>
      </c>
      <c r="F274" s="198"/>
      <c r="G274" s="193" t="s">
        <v>201</v>
      </c>
      <c r="H274" s="193"/>
      <c r="I274" s="220">
        <f>I272</f>
        <v>18</v>
      </c>
      <c r="J274" s="198" t="str">
        <f>J269</f>
        <v>2500 mm</v>
      </c>
      <c r="K274" s="221">
        <v>1</v>
      </c>
      <c r="L274" s="195" t="s">
        <v>81</v>
      </c>
      <c r="M274" s="214">
        <f t="shared" ref="M274:M307" si="59">LEFT(J274,SEARCH(" ",J274,1)-1)*K274*0.001</f>
        <v>2.5</v>
      </c>
      <c r="N274" s="195" t="s">
        <v>139</v>
      </c>
      <c r="O274" s="233">
        <f>VLOOKUP(I274,BM!$B$3:$Y$62,9,FALSE)</f>
        <v>1</v>
      </c>
      <c r="P274" s="195" t="s">
        <v>112</v>
      </c>
      <c r="Q274" s="227">
        <f t="shared" si="48"/>
        <v>2.5</v>
      </c>
      <c r="R274" s="226">
        <v>1</v>
      </c>
      <c r="S274" s="227">
        <f t="shared" si="49"/>
        <v>3.5</v>
      </c>
      <c r="T274" s="203" t="s">
        <v>48</v>
      </c>
      <c r="U274" s="183" t="str">
        <f t="shared" si="46"/>
        <v>3.5 Hrs</v>
      </c>
    </row>
    <row r="275" spans="3:21" s="172" customFormat="1" ht="20.25" customHeight="1">
      <c r="C275" s="185"/>
      <c r="D275" s="190">
        <f t="shared" si="57"/>
        <v>275</v>
      </c>
      <c r="E275" s="194" t="s">
        <v>296</v>
      </c>
      <c r="F275" s="198">
        <f t="shared" si="47"/>
        <v>274</v>
      </c>
      <c r="G275" s="193" t="s">
        <v>201</v>
      </c>
      <c r="H275" s="193"/>
      <c r="I275" s="220">
        <f>I272</f>
        <v>18</v>
      </c>
      <c r="J275" s="198" t="str">
        <f>J270</f>
        <v>2500 mm</v>
      </c>
      <c r="K275" s="221">
        <v>1</v>
      </c>
      <c r="L275" s="195" t="s">
        <v>81</v>
      </c>
      <c r="M275" s="214">
        <f t="shared" si="59"/>
        <v>2.5</v>
      </c>
      <c r="N275" s="195" t="s">
        <v>139</v>
      </c>
      <c r="O275" s="233">
        <f>VLOOKUP(I275,BM!$B$3:$Y$62,9,FALSE)</f>
        <v>1</v>
      </c>
      <c r="P275" s="195" t="s">
        <v>112</v>
      </c>
      <c r="Q275" s="227">
        <f t="shared" si="48"/>
        <v>2.5</v>
      </c>
      <c r="R275" s="226">
        <v>1</v>
      </c>
      <c r="S275" s="227">
        <f t="shared" si="49"/>
        <v>3.5</v>
      </c>
      <c r="T275" s="203" t="s">
        <v>48</v>
      </c>
      <c r="U275" s="183" t="str">
        <f t="shared" si="46"/>
        <v>3.5 Hrs</v>
      </c>
    </row>
    <row r="276" spans="3:21" s="172" customFormat="1" ht="20.25" customHeight="1">
      <c r="C276" s="185"/>
      <c r="D276" s="190">
        <f t="shared" si="57"/>
        <v>276</v>
      </c>
      <c r="E276" s="194" t="s">
        <v>296</v>
      </c>
      <c r="F276" s="198">
        <f t="shared" si="47"/>
        <v>275</v>
      </c>
      <c r="G276" s="193" t="s">
        <v>201</v>
      </c>
      <c r="H276" s="193"/>
      <c r="I276" s="220">
        <f>I272</f>
        <v>18</v>
      </c>
      <c r="J276" s="198" t="str">
        <f>J271</f>
        <v>1250 mm</v>
      </c>
      <c r="K276" s="221">
        <v>1</v>
      </c>
      <c r="L276" s="195" t="s">
        <v>81</v>
      </c>
      <c r="M276" s="214">
        <f t="shared" si="59"/>
        <v>1.25</v>
      </c>
      <c r="N276" s="195" t="s">
        <v>139</v>
      </c>
      <c r="O276" s="233">
        <f>VLOOKUP(I276,BM!$B$3:$Y$62,9,FALSE)</f>
        <v>1</v>
      </c>
      <c r="P276" s="195" t="s">
        <v>112</v>
      </c>
      <c r="Q276" s="227">
        <f t="shared" si="48"/>
        <v>1.25</v>
      </c>
      <c r="R276" s="226">
        <v>1</v>
      </c>
      <c r="S276" s="227">
        <f t="shared" si="49"/>
        <v>2.25</v>
      </c>
      <c r="T276" s="203" t="s">
        <v>48</v>
      </c>
      <c r="U276" s="183" t="str">
        <f t="shared" si="46"/>
        <v>2.25 Hrs</v>
      </c>
    </row>
    <row r="277" spans="3:21" s="172" customFormat="1" ht="20.25" customHeight="1">
      <c r="C277" s="185"/>
      <c r="D277" s="190">
        <f t="shared" si="57"/>
        <v>277</v>
      </c>
      <c r="E277" s="194" t="s">
        <v>296</v>
      </c>
      <c r="F277" s="198">
        <f t="shared" si="47"/>
        <v>276</v>
      </c>
      <c r="G277" s="193" t="s">
        <v>201</v>
      </c>
      <c r="H277" s="193"/>
      <c r="I277" s="220">
        <f>I272</f>
        <v>18</v>
      </c>
      <c r="J277" s="198" t="str">
        <f>J272</f>
        <v>0 mm</v>
      </c>
      <c r="K277" s="221">
        <v>1</v>
      </c>
      <c r="L277" s="195" t="s">
        <v>81</v>
      </c>
      <c r="M277" s="214">
        <f t="shared" si="59"/>
        <v>0</v>
      </c>
      <c r="N277" s="195" t="s">
        <v>139</v>
      </c>
      <c r="O277" s="233">
        <f>VLOOKUP(I277,BM!$B$3:$Y$62,9,FALSE)</f>
        <v>1</v>
      </c>
      <c r="P277" s="195" t="s">
        <v>112</v>
      </c>
      <c r="Q277" s="227">
        <f t="shared" si="48"/>
        <v>0</v>
      </c>
      <c r="R277" s="226">
        <v>1</v>
      </c>
      <c r="S277" s="227">
        <f t="shared" si="49"/>
        <v>1</v>
      </c>
      <c r="T277" s="203" t="s">
        <v>48</v>
      </c>
      <c r="U277" s="183" t="str">
        <f t="shared" si="46"/>
        <v>1 Hrs</v>
      </c>
    </row>
    <row r="278" spans="3:21" s="172" customFormat="1" ht="20.25" customHeight="1">
      <c r="C278" s="185">
        <f>D278</f>
        <v>278</v>
      </c>
      <c r="D278" s="190">
        <f t="shared" si="57"/>
        <v>278</v>
      </c>
      <c r="E278" s="196" t="s">
        <v>297</v>
      </c>
      <c r="F278" s="197">
        <f>D273</f>
        <v>273</v>
      </c>
      <c r="G278" s="193"/>
      <c r="H278" s="193"/>
      <c r="I278" s="195"/>
      <c r="J278" s="195"/>
      <c r="K278" s="221"/>
      <c r="L278" s="195"/>
      <c r="M278" s="204"/>
      <c r="N278" s="195"/>
      <c r="O278" s="205"/>
      <c r="P278" s="195"/>
      <c r="Q278" s="227">
        <f t="shared" si="48"/>
        <v>0</v>
      </c>
      <c r="R278" s="226"/>
      <c r="S278" s="227"/>
      <c r="T278" s="203"/>
      <c r="U278" s="183"/>
    </row>
    <row r="279" spans="3:21" s="172" customFormat="1" ht="20.25" customHeight="1">
      <c r="C279" s="185"/>
      <c r="D279" s="190">
        <f t="shared" si="57"/>
        <v>279</v>
      </c>
      <c r="E279" s="194" t="s">
        <v>298</v>
      </c>
      <c r="F279" s="198"/>
      <c r="G279" s="193"/>
      <c r="H279" s="193"/>
      <c r="I279" s="220">
        <f>I277</f>
        <v>18</v>
      </c>
      <c r="J279" s="198" t="str">
        <f>J274</f>
        <v>2500 mm</v>
      </c>
      <c r="K279" s="221">
        <v>1</v>
      </c>
      <c r="L279" s="195" t="s">
        <v>81</v>
      </c>
      <c r="M279" s="214">
        <f t="shared" si="59"/>
        <v>2.5</v>
      </c>
      <c r="N279" s="195" t="s">
        <v>139</v>
      </c>
      <c r="O279" s="233">
        <f>VLOOKUP(I279,BM!$B$3:$Y$62,10,FALSE)</f>
        <v>1</v>
      </c>
      <c r="P279" s="195" t="s">
        <v>112</v>
      </c>
      <c r="Q279" s="227">
        <f t="shared" si="48"/>
        <v>2.5</v>
      </c>
      <c r="R279" s="226">
        <v>1</v>
      </c>
      <c r="S279" s="227">
        <f t="shared" si="49"/>
        <v>3.5</v>
      </c>
      <c r="T279" s="203" t="s">
        <v>48</v>
      </c>
      <c r="U279" s="183" t="str">
        <f t="shared" si="46"/>
        <v>3.5 Hrs</v>
      </c>
    </row>
    <row r="280" spans="3:21" s="172" customFormat="1" ht="20.25" customHeight="1">
      <c r="C280" s="185"/>
      <c r="D280" s="190">
        <f t="shared" si="57"/>
        <v>280</v>
      </c>
      <c r="E280" s="194" t="s">
        <v>298</v>
      </c>
      <c r="F280" s="198">
        <f t="shared" si="47"/>
        <v>279</v>
      </c>
      <c r="G280" s="193" t="s">
        <v>299</v>
      </c>
      <c r="H280" s="193"/>
      <c r="I280" s="220">
        <f>I277</f>
        <v>18</v>
      </c>
      <c r="J280" s="198" t="str">
        <f>J275</f>
        <v>2500 mm</v>
      </c>
      <c r="K280" s="221">
        <v>1</v>
      </c>
      <c r="L280" s="195" t="s">
        <v>81</v>
      </c>
      <c r="M280" s="214">
        <f t="shared" si="59"/>
        <v>2.5</v>
      </c>
      <c r="N280" s="195" t="s">
        <v>139</v>
      </c>
      <c r="O280" s="233">
        <f>VLOOKUP(I280,BM!$B$3:$Y$62,10,FALSE)</f>
        <v>1</v>
      </c>
      <c r="P280" s="195" t="s">
        <v>112</v>
      </c>
      <c r="Q280" s="227">
        <f t="shared" si="48"/>
        <v>2.5</v>
      </c>
      <c r="R280" s="226">
        <v>1</v>
      </c>
      <c r="S280" s="227">
        <f t="shared" si="49"/>
        <v>3.5</v>
      </c>
      <c r="T280" s="203" t="s">
        <v>48</v>
      </c>
      <c r="U280" s="183" t="str">
        <f t="shared" si="46"/>
        <v>3.5 Hrs</v>
      </c>
    </row>
    <row r="281" spans="3:21" s="172" customFormat="1" ht="20.25" customHeight="1">
      <c r="C281" s="185"/>
      <c r="D281" s="190">
        <f t="shared" si="57"/>
        <v>281</v>
      </c>
      <c r="E281" s="194" t="s">
        <v>298</v>
      </c>
      <c r="F281" s="198">
        <f t="shared" si="47"/>
        <v>280</v>
      </c>
      <c r="G281" s="193" t="s">
        <v>299</v>
      </c>
      <c r="H281" s="193"/>
      <c r="I281" s="220">
        <f>I277</f>
        <v>18</v>
      </c>
      <c r="J281" s="198" t="str">
        <f>J276</f>
        <v>1250 mm</v>
      </c>
      <c r="K281" s="221">
        <v>1</v>
      </c>
      <c r="L281" s="195" t="s">
        <v>81</v>
      </c>
      <c r="M281" s="214">
        <f t="shared" si="59"/>
        <v>1.25</v>
      </c>
      <c r="N281" s="195" t="s">
        <v>139</v>
      </c>
      <c r="O281" s="233">
        <f>VLOOKUP(I281,BM!$B$3:$Y$62,10,FALSE)</f>
        <v>1</v>
      </c>
      <c r="P281" s="195" t="s">
        <v>112</v>
      </c>
      <c r="Q281" s="227">
        <f t="shared" si="48"/>
        <v>1.25</v>
      </c>
      <c r="R281" s="226">
        <v>1</v>
      </c>
      <c r="S281" s="227">
        <f t="shared" si="49"/>
        <v>2.25</v>
      </c>
      <c r="T281" s="203" t="s">
        <v>48</v>
      </c>
      <c r="U281" s="183" t="str">
        <f t="shared" si="46"/>
        <v>2.25 Hrs</v>
      </c>
    </row>
    <row r="282" spans="3:21" s="172" customFormat="1" ht="20.25" customHeight="1">
      <c r="C282" s="185"/>
      <c r="D282" s="190">
        <f t="shared" si="57"/>
        <v>282</v>
      </c>
      <c r="E282" s="194" t="s">
        <v>298</v>
      </c>
      <c r="F282" s="198">
        <f t="shared" si="47"/>
        <v>281</v>
      </c>
      <c r="G282" s="193" t="s">
        <v>299</v>
      </c>
      <c r="H282" s="193"/>
      <c r="I282" s="220">
        <f>I277</f>
        <v>18</v>
      </c>
      <c r="J282" s="198" t="str">
        <f>J277</f>
        <v>0 mm</v>
      </c>
      <c r="K282" s="221">
        <v>1</v>
      </c>
      <c r="L282" s="195" t="s">
        <v>81</v>
      </c>
      <c r="M282" s="214">
        <f t="shared" si="59"/>
        <v>0</v>
      </c>
      <c r="N282" s="195" t="s">
        <v>139</v>
      </c>
      <c r="O282" s="233">
        <f>VLOOKUP(I282,BM!$B$3:$Y$62,10,FALSE)</f>
        <v>1</v>
      </c>
      <c r="P282" s="195" t="s">
        <v>112</v>
      </c>
      <c r="Q282" s="227">
        <f t="shared" si="48"/>
        <v>0</v>
      </c>
      <c r="R282" s="226">
        <v>1</v>
      </c>
      <c r="S282" s="227">
        <f t="shared" si="49"/>
        <v>1</v>
      </c>
      <c r="T282" s="203" t="s">
        <v>48</v>
      </c>
      <c r="U282" s="183" t="str">
        <f t="shared" si="46"/>
        <v>1 Hrs</v>
      </c>
    </row>
    <row r="283" spans="3:21" s="172" customFormat="1" ht="20.25" customHeight="1">
      <c r="C283" s="185">
        <f>D283</f>
        <v>283</v>
      </c>
      <c r="D283" s="190">
        <f t="shared" si="57"/>
        <v>283</v>
      </c>
      <c r="E283" s="196" t="s">
        <v>300</v>
      </c>
      <c r="F283" s="197">
        <f>D278</f>
        <v>278</v>
      </c>
      <c r="G283" s="193"/>
      <c r="H283" s="193"/>
      <c r="I283" s="195"/>
      <c r="J283" s="195"/>
      <c r="K283" s="221"/>
      <c r="L283" s="195"/>
      <c r="M283" s="204"/>
      <c r="N283" s="195"/>
      <c r="O283" s="205"/>
      <c r="P283" s="195"/>
      <c r="Q283" s="227"/>
      <c r="R283" s="226"/>
      <c r="S283" s="227"/>
      <c r="T283" s="203"/>
      <c r="U283" s="183"/>
    </row>
    <row r="284" spans="3:21" s="172" customFormat="1" ht="20.25" customHeight="1">
      <c r="C284" s="185"/>
      <c r="D284" s="190">
        <f t="shared" si="57"/>
        <v>284</v>
      </c>
      <c r="E284" s="194" t="s">
        <v>301</v>
      </c>
      <c r="F284" s="198"/>
      <c r="G284" s="193" t="s">
        <v>44</v>
      </c>
      <c r="H284" s="193"/>
      <c r="I284" s="220">
        <f>I282</f>
        <v>18</v>
      </c>
      <c r="J284" s="198" t="str">
        <f>J279</f>
        <v>2500 mm</v>
      </c>
      <c r="K284" s="221">
        <v>1</v>
      </c>
      <c r="L284" s="195" t="s">
        <v>81</v>
      </c>
      <c r="M284" s="214">
        <v>1</v>
      </c>
      <c r="N284" s="195" t="s">
        <v>39</v>
      </c>
      <c r="O284" s="233">
        <f>VLOOKUP(I284,BM!$B$3:$Y$62,11,FALSE)</f>
        <v>1</v>
      </c>
      <c r="P284" s="195" t="s">
        <v>112</v>
      </c>
      <c r="Q284" s="227">
        <f t="shared" ref="Q284:Q347" si="60">M284*O284</f>
        <v>1</v>
      </c>
      <c r="R284" s="226">
        <v>1</v>
      </c>
      <c r="S284" s="227">
        <f t="shared" si="49"/>
        <v>2</v>
      </c>
      <c r="T284" s="203" t="s">
        <v>48</v>
      </c>
      <c r="U284" s="183" t="str">
        <f t="shared" ref="U284:U347" si="61">CONCATENATE(S284," ",T284)</f>
        <v>2 Hrs</v>
      </c>
    </row>
    <row r="285" spans="3:21" s="172" customFormat="1" ht="20.25" customHeight="1">
      <c r="C285" s="185"/>
      <c r="D285" s="190">
        <f t="shared" si="57"/>
        <v>285</v>
      </c>
      <c r="E285" s="194" t="s">
        <v>301</v>
      </c>
      <c r="F285" s="198">
        <f t="shared" ref="F285:F348" si="62">D284</f>
        <v>284</v>
      </c>
      <c r="G285" s="193" t="s">
        <v>44</v>
      </c>
      <c r="H285" s="193"/>
      <c r="I285" s="220">
        <f>I282</f>
        <v>18</v>
      </c>
      <c r="J285" s="198" t="str">
        <f>J280</f>
        <v>2500 mm</v>
      </c>
      <c r="K285" s="221">
        <v>1</v>
      </c>
      <c r="L285" s="195" t="s">
        <v>81</v>
      </c>
      <c r="M285" s="214">
        <v>1</v>
      </c>
      <c r="N285" s="195" t="s">
        <v>39</v>
      </c>
      <c r="O285" s="233">
        <f>VLOOKUP(I285,BM!$B$3:$Y$62,11,FALSE)</f>
        <v>1</v>
      </c>
      <c r="P285" s="195" t="s">
        <v>112</v>
      </c>
      <c r="Q285" s="227">
        <f t="shared" si="60"/>
        <v>1</v>
      </c>
      <c r="R285" s="226">
        <v>1</v>
      </c>
      <c r="S285" s="227">
        <f t="shared" ref="S285:S348" si="63">ROUND(Q285+R285,2)</f>
        <v>2</v>
      </c>
      <c r="T285" s="203" t="s">
        <v>48</v>
      </c>
      <c r="U285" s="183" t="str">
        <f t="shared" si="61"/>
        <v>2 Hrs</v>
      </c>
    </row>
    <row r="286" spans="3:21" s="172" customFormat="1" ht="20.25" customHeight="1">
      <c r="C286" s="185"/>
      <c r="D286" s="190">
        <f t="shared" si="57"/>
        <v>286</v>
      </c>
      <c r="E286" s="194" t="s">
        <v>301</v>
      </c>
      <c r="F286" s="198">
        <f t="shared" si="62"/>
        <v>285</v>
      </c>
      <c r="G286" s="193" t="s">
        <v>44</v>
      </c>
      <c r="H286" s="193"/>
      <c r="I286" s="220">
        <f>I282</f>
        <v>18</v>
      </c>
      <c r="J286" s="198" t="str">
        <f>J281</f>
        <v>1250 mm</v>
      </c>
      <c r="K286" s="221">
        <v>1</v>
      </c>
      <c r="L286" s="195" t="s">
        <v>81</v>
      </c>
      <c r="M286" s="214">
        <v>1</v>
      </c>
      <c r="N286" s="195" t="s">
        <v>39</v>
      </c>
      <c r="O286" s="233">
        <f>VLOOKUP(I286,BM!$B$3:$Y$62,11,FALSE)</f>
        <v>1</v>
      </c>
      <c r="P286" s="195" t="s">
        <v>112</v>
      </c>
      <c r="Q286" s="227">
        <f t="shared" si="60"/>
        <v>1</v>
      </c>
      <c r="R286" s="226">
        <v>1</v>
      </c>
      <c r="S286" s="227">
        <f t="shared" si="63"/>
        <v>2</v>
      </c>
      <c r="T286" s="203" t="s">
        <v>48</v>
      </c>
      <c r="U286" s="183" t="str">
        <f t="shared" si="61"/>
        <v>2 Hrs</v>
      </c>
    </row>
    <row r="287" spans="3:21" s="172" customFormat="1" ht="20.25" customHeight="1">
      <c r="C287" s="185"/>
      <c r="D287" s="190">
        <f t="shared" si="57"/>
        <v>287</v>
      </c>
      <c r="E287" s="194" t="s">
        <v>301</v>
      </c>
      <c r="F287" s="198">
        <f t="shared" si="62"/>
        <v>286</v>
      </c>
      <c r="G287" s="193" t="s">
        <v>44</v>
      </c>
      <c r="H287" s="193"/>
      <c r="I287" s="220">
        <f>I282</f>
        <v>18</v>
      </c>
      <c r="J287" s="198" t="str">
        <f>J282</f>
        <v>0 mm</v>
      </c>
      <c r="K287" s="221">
        <v>1</v>
      </c>
      <c r="L287" s="195" t="s">
        <v>81</v>
      </c>
      <c r="M287" s="214">
        <v>1</v>
      </c>
      <c r="N287" s="195" t="s">
        <v>39</v>
      </c>
      <c r="O287" s="233">
        <f>VLOOKUP(I287,BM!$B$3:$Y$62,11,FALSE)</f>
        <v>1</v>
      </c>
      <c r="P287" s="195" t="s">
        <v>112</v>
      </c>
      <c r="Q287" s="227">
        <f t="shared" si="60"/>
        <v>1</v>
      </c>
      <c r="R287" s="226">
        <v>1</v>
      </c>
      <c r="S287" s="227">
        <f t="shared" si="63"/>
        <v>2</v>
      </c>
      <c r="T287" s="203" t="s">
        <v>48</v>
      </c>
      <c r="U287" s="183" t="str">
        <f t="shared" si="61"/>
        <v>2 Hrs</v>
      </c>
    </row>
    <row r="288" spans="3:21" s="172" customFormat="1" ht="20.25" customHeight="1">
      <c r="C288" s="185">
        <f>D288</f>
        <v>288</v>
      </c>
      <c r="D288" s="190">
        <f t="shared" si="57"/>
        <v>288</v>
      </c>
      <c r="E288" s="196" t="s">
        <v>302</v>
      </c>
      <c r="F288" s="197">
        <f>D283</f>
        <v>283</v>
      </c>
      <c r="G288" s="193"/>
      <c r="H288" s="193"/>
      <c r="I288" s="195"/>
      <c r="J288" s="195"/>
      <c r="K288" s="221"/>
      <c r="L288" s="195"/>
      <c r="M288" s="204"/>
      <c r="N288" s="195"/>
      <c r="O288" s="205"/>
      <c r="P288" s="195"/>
      <c r="Q288" s="227"/>
      <c r="R288" s="226"/>
      <c r="S288" s="227"/>
      <c r="T288" s="203"/>
      <c r="U288" s="183"/>
    </row>
    <row r="289" spans="3:21" s="172" customFormat="1" ht="20.25" customHeight="1">
      <c r="C289" s="185"/>
      <c r="D289" s="190">
        <f t="shared" si="57"/>
        <v>289</v>
      </c>
      <c r="E289" s="194" t="s">
        <v>303</v>
      </c>
      <c r="F289" s="198"/>
      <c r="G289" s="193" t="s">
        <v>115</v>
      </c>
      <c r="H289" s="193"/>
      <c r="I289" s="211">
        <v>12</v>
      </c>
      <c r="J289" s="198" t="str">
        <f>J284</f>
        <v>2500 mm</v>
      </c>
      <c r="K289" s="221">
        <v>1</v>
      </c>
      <c r="L289" s="195" t="s">
        <v>81</v>
      </c>
      <c r="M289" s="214">
        <f t="shared" si="59"/>
        <v>2.5</v>
      </c>
      <c r="N289" s="195" t="s">
        <v>139</v>
      </c>
      <c r="O289" s="233">
        <f>VLOOKUP(I289,BM!$B$3:$Y$62,12,FALSE)</f>
        <v>2.5</v>
      </c>
      <c r="P289" s="195" t="s">
        <v>112</v>
      </c>
      <c r="Q289" s="227">
        <f t="shared" si="60"/>
        <v>6.25</v>
      </c>
      <c r="R289" s="226">
        <v>1</v>
      </c>
      <c r="S289" s="227">
        <f t="shared" si="63"/>
        <v>7.25</v>
      </c>
      <c r="T289" s="203" t="s">
        <v>48</v>
      </c>
      <c r="U289" s="183" t="str">
        <f t="shared" si="61"/>
        <v>7.25 Hrs</v>
      </c>
    </row>
    <row r="290" spans="3:21" s="172" customFormat="1" ht="20.25" customHeight="1">
      <c r="C290" s="185"/>
      <c r="D290" s="190">
        <f t="shared" si="57"/>
        <v>290</v>
      </c>
      <c r="E290" s="194" t="s">
        <v>303</v>
      </c>
      <c r="F290" s="198">
        <f t="shared" si="62"/>
        <v>289</v>
      </c>
      <c r="G290" s="193" t="s">
        <v>115</v>
      </c>
      <c r="H290" s="193"/>
      <c r="I290" s="220">
        <f>I289</f>
        <v>12</v>
      </c>
      <c r="J290" s="198" t="str">
        <f>J285</f>
        <v>2500 mm</v>
      </c>
      <c r="K290" s="221">
        <v>1</v>
      </c>
      <c r="L290" s="195" t="s">
        <v>81</v>
      </c>
      <c r="M290" s="214">
        <f t="shared" si="59"/>
        <v>2.5</v>
      </c>
      <c r="N290" s="195" t="s">
        <v>139</v>
      </c>
      <c r="O290" s="233">
        <f>VLOOKUP(I290,BM!$B$3:$Y$62,12,FALSE)</f>
        <v>2.5</v>
      </c>
      <c r="P290" s="195" t="s">
        <v>112</v>
      </c>
      <c r="Q290" s="227">
        <f t="shared" si="60"/>
        <v>6.25</v>
      </c>
      <c r="R290" s="226">
        <v>1</v>
      </c>
      <c r="S290" s="227">
        <f t="shared" si="63"/>
        <v>7.25</v>
      </c>
      <c r="T290" s="203" t="s">
        <v>48</v>
      </c>
      <c r="U290" s="183" t="str">
        <f t="shared" si="61"/>
        <v>7.25 Hrs</v>
      </c>
    </row>
    <row r="291" spans="3:21" s="172" customFormat="1" ht="20.25" customHeight="1">
      <c r="C291" s="185"/>
      <c r="D291" s="190">
        <f t="shared" si="57"/>
        <v>291</v>
      </c>
      <c r="E291" s="194" t="s">
        <v>303</v>
      </c>
      <c r="F291" s="198">
        <f t="shared" si="62"/>
        <v>290</v>
      </c>
      <c r="G291" s="193" t="s">
        <v>115</v>
      </c>
      <c r="H291" s="193"/>
      <c r="I291" s="220">
        <f>I290</f>
        <v>12</v>
      </c>
      <c r="J291" s="198" t="str">
        <f>J286</f>
        <v>1250 mm</v>
      </c>
      <c r="K291" s="221">
        <v>1</v>
      </c>
      <c r="L291" s="195" t="s">
        <v>81</v>
      </c>
      <c r="M291" s="214">
        <f t="shared" si="59"/>
        <v>1.25</v>
      </c>
      <c r="N291" s="195" t="s">
        <v>139</v>
      </c>
      <c r="O291" s="233">
        <f>VLOOKUP(I291,BM!$B$3:$Y$62,12,FALSE)</f>
        <v>2.5</v>
      </c>
      <c r="P291" s="195" t="s">
        <v>112</v>
      </c>
      <c r="Q291" s="227">
        <f t="shared" si="60"/>
        <v>3.125</v>
      </c>
      <c r="R291" s="226">
        <v>1</v>
      </c>
      <c r="S291" s="227">
        <f t="shared" si="63"/>
        <v>4.13</v>
      </c>
      <c r="T291" s="203" t="s">
        <v>48</v>
      </c>
      <c r="U291" s="183" t="str">
        <f t="shared" si="61"/>
        <v>4.13 Hrs</v>
      </c>
    </row>
    <row r="292" spans="3:21" s="172" customFormat="1" ht="20.25" customHeight="1">
      <c r="C292" s="185"/>
      <c r="D292" s="190">
        <f t="shared" si="57"/>
        <v>292</v>
      </c>
      <c r="E292" s="194" t="s">
        <v>303</v>
      </c>
      <c r="F292" s="198">
        <f t="shared" si="62"/>
        <v>291</v>
      </c>
      <c r="G292" s="193" t="s">
        <v>115</v>
      </c>
      <c r="H292" s="193"/>
      <c r="I292" s="220">
        <f>I291</f>
        <v>12</v>
      </c>
      <c r="J292" s="198" t="str">
        <f>J287</f>
        <v>0 mm</v>
      </c>
      <c r="K292" s="221">
        <v>1</v>
      </c>
      <c r="L292" s="195" t="s">
        <v>81</v>
      </c>
      <c r="M292" s="214">
        <f t="shared" si="59"/>
        <v>0</v>
      </c>
      <c r="N292" s="195" t="s">
        <v>139</v>
      </c>
      <c r="O292" s="233">
        <f>VLOOKUP(I292,BM!$B$3:$Y$62,12,FALSE)</f>
        <v>2.5</v>
      </c>
      <c r="P292" s="195" t="s">
        <v>112</v>
      </c>
      <c r="Q292" s="227">
        <f t="shared" si="60"/>
        <v>0</v>
      </c>
      <c r="R292" s="226">
        <v>1</v>
      </c>
      <c r="S292" s="227">
        <f t="shared" si="63"/>
        <v>1</v>
      </c>
      <c r="T292" s="203" t="s">
        <v>48</v>
      </c>
      <c r="U292" s="183" t="str">
        <f t="shared" si="61"/>
        <v>1 Hrs</v>
      </c>
    </row>
    <row r="293" spans="3:21" s="172" customFormat="1" ht="20.25" customHeight="1">
      <c r="C293" s="185">
        <f>D293</f>
        <v>293</v>
      </c>
      <c r="D293" s="190">
        <f t="shared" si="57"/>
        <v>293</v>
      </c>
      <c r="E293" s="196" t="s">
        <v>304</v>
      </c>
      <c r="F293" s="197">
        <f>D288</f>
        <v>288</v>
      </c>
      <c r="G293" s="193"/>
      <c r="H293" s="193"/>
      <c r="I293" s="195"/>
      <c r="J293" s="195"/>
      <c r="K293" s="221"/>
      <c r="L293" s="195"/>
      <c r="M293" s="204"/>
      <c r="N293" s="195"/>
      <c r="O293" s="205"/>
      <c r="P293" s="195"/>
      <c r="Q293" s="227"/>
      <c r="R293" s="226"/>
      <c r="S293" s="227"/>
      <c r="T293" s="203"/>
      <c r="U293" s="183"/>
    </row>
    <row r="294" spans="3:21" s="172" customFormat="1" ht="20.25" customHeight="1">
      <c r="C294" s="185"/>
      <c r="D294" s="190">
        <f t="shared" si="57"/>
        <v>294</v>
      </c>
      <c r="E294" s="194" t="s">
        <v>305</v>
      </c>
      <c r="F294" s="198"/>
      <c r="G294" s="193" t="s">
        <v>61</v>
      </c>
      <c r="H294" s="193"/>
      <c r="I294" s="211">
        <v>18</v>
      </c>
      <c r="J294" s="198" t="str">
        <f>J289</f>
        <v>2500 mm</v>
      </c>
      <c r="K294" s="221">
        <v>1</v>
      </c>
      <c r="L294" s="195" t="s">
        <v>81</v>
      </c>
      <c r="M294" s="214">
        <f t="shared" si="59"/>
        <v>2.5</v>
      </c>
      <c r="N294" s="195" t="s">
        <v>139</v>
      </c>
      <c r="O294" s="233">
        <f>VLOOKUP(I294,BM!$B$3:$Y$62,18,FALSE)</f>
        <v>1</v>
      </c>
      <c r="P294" s="195" t="s">
        <v>112</v>
      </c>
      <c r="Q294" s="227">
        <f t="shared" si="60"/>
        <v>2.5</v>
      </c>
      <c r="R294" s="226">
        <v>1</v>
      </c>
      <c r="S294" s="227">
        <f t="shared" si="63"/>
        <v>3.5</v>
      </c>
      <c r="T294" s="203" t="s">
        <v>48</v>
      </c>
      <c r="U294" s="183" t="str">
        <f t="shared" si="61"/>
        <v>3.5 Hrs</v>
      </c>
    </row>
    <row r="295" spans="3:21" s="172" customFormat="1" ht="20.25" customHeight="1">
      <c r="C295" s="185"/>
      <c r="D295" s="190">
        <f t="shared" si="57"/>
        <v>295</v>
      </c>
      <c r="E295" s="194" t="s">
        <v>305</v>
      </c>
      <c r="F295" s="198">
        <f t="shared" si="62"/>
        <v>294</v>
      </c>
      <c r="G295" s="193" t="s">
        <v>61</v>
      </c>
      <c r="H295" s="193"/>
      <c r="I295" s="211">
        <v>18</v>
      </c>
      <c r="J295" s="198" t="str">
        <f>J290</f>
        <v>2500 mm</v>
      </c>
      <c r="K295" s="221">
        <v>1</v>
      </c>
      <c r="L295" s="195" t="s">
        <v>81</v>
      </c>
      <c r="M295" s="214">
        <f t="shared" si="59"/>
        <v>2.5</v>
      </c>
      <c r="N295" s="195" t="s">
        <v>139</v>
      </c>
      <c r="O295" s="233">
        <f>VLOOKUP(I295,BM!$B$3:$Y$62,18,FALSE)</f>
        <v>1</v>
      </c>
      <c r="P295" s="195" t="s">
        <v>112</v>
      </c>
      <c r="Q295" s="227">
        <f t="shared" si="60"/>
        <v>2.5</v>
      </c>
      <c r="R295" s="226">
        <v>1</v>
      </c>
      <c r="S295" s="227">
        <f t="shared" si="63"/>
        <v>3.5</v>
      </c>
      <c r="T295" s="203" t="s">
        <v>48</v>
      </c>
      <c r="U295" s="183" t="str">
        <f t="shared" si="61"/>
        <v>3.5 Hrs</v>
      </c>
    </row>
    <row r="296" spans="3:21" s="172" customFormat="1" ht="20.25" customHeight="1">
      <c r="C296" s="185"/>
      <c r="D296" s="190">
        <f t="shared" si="57"/>
        <v>296</v>
      </c>
      <c r="E296" s="194" t="s">
        <v>305</v>
      </c>
      <c r="F296" s="198">
        <f t="shared" si="62"/>
        <v>295</v>
      </c>
      <c r="G296" s="193" t="s">
        <v>61</v>
      </c>
      <c r="H296" s="193"/>
      <c r="I296" s="211">
        <v>18</v>
      </c>
      <c r="J296" s="198" t="str">
        <f>J291</f>
        <v>1250 mm</v>
      </c>
      <c r="K296" s="221">
        <v>1</v>
      </c>
      <c r="L296" s="195" t="s">
        <v>81</v>
      </c>
      <c r="M296" s="214">
        <f t="shared" si="59"/>
        <v>1.25</v>
      </c>
      <c r="N296" s="195" t="s">
        <v>139</v>
      </c>
      <c r="O296" s="233">
        <f>VLOOKUP(I296,BM!$B$3:$Y$62,18,FALSE)</f>
        <v>1</v>
      </c>
      <c r="P296" s="195" t="s">
        <v>112</v>
      </c>
      <c r="Q296" s="227">
        <f t="shared" si="60"/>
        <v>1.25</v>
      </c>
      <c r="R296" s="226">
        <v>1</v>
      </c>
      <c r="S296" s="227">
        <f t="shared" si="63"/>
        <v>2.25</v>
      </c>
      <c r="T296" s="203" t="s">
        <v>48</v>
      </c>
      <c r="U296" s="183" t="str">
        <f t="shared" si="61"/>
        <v>2.25 Hrs</v>
      </c>
    </row>
    <row r="297" spans="3:21" s="172" customFormat="1" ht="20.25" customHeight="1">
      <c r="C297" s="185"/>
      <c r="D297" s="190">
        <f t="shared" si="57"/>
        <v>297</v>
      </c>
      <c r="E297" s="194" t="s">
        <v>305</v>
      </c>
      <c r="F297" s="198">
        <f t="shared" si="62"/>
        <v>296</v>
      </c>
      <c r="G297" s="193" t="s">
        <v>61</v>
      </c>
      <c r="H297" s="193"/>
      <c r="I297" s="211">
        <v>18</v>
      </c>
      <c r="J297" s="198" t="str">
        <f>J292</f>
        <v>0 mm</v>
      </c>
      <c r="K297" s="221">
        <v>1</v>
      </c>
      <c r="L297" s="195" t="s">
        <v>81</v>
      </c>
      <c r="M297" s="214">
        <f t="shared" si="59"/>
        <v>0</v>
      </c>
      <c r="N297" s="195" t="s">
        <v>139</v>
      </c>
      <c r="O297" s="233">
        <f>VLOOKUP(I297,BM!$B$3:$Y$62,18,FALSE)</f>
        <v>1</v>
      </c>
      <c r="P297" s="195" t="s">
        <v>112</v>
      </c>
      <c r="Q297" s="227">
        <f t="shared" si="60"/>
        <v>0</v>
      </c>
      <c r="R297" s="226">
        <v>1</v>
      </c>
      <c r="S297" s="227">
        <f t="shared" si="63"/>
        <v>1</v>
      </c>
      <c r="T297" s="203" t="s">
        <v>48</v>
      </c>
      <c r="U297" s="183" t="str">
        <f t="shared" si="61"/>
        <v>1 Hrs</v>
      </c>
    </row>
    <row r="298" spans="3:21" s="172" customFormat="1" ht="20.25" customHeight="1">
      <c r="C298" s="185">
        <f>D298</f>
        <v>298</v>
      </c>
      <c r="D298" s="190">
        <f t="shared" si="57"/>
        <v>298</v>
      </c>
      <c r="E298" s="196" t="s">
        <v>306</v>
      </c>
      <c r="F298" s="197">
        <f>D293</f>
        <v>293</v>
      </c>
      <c r="G298" s="193"/>
      <c r="H298" s="193"/>
      <c r="I298" s="195"/>
      <c r="J298" s="195"/>
      <c r="K298" s="221"/>
      <c r="L298" s="195"/>
      <c r="M298" s="204"/>
      <c r="N298" s="195"/>
      <c r="O298" s="205"/>
      <c r="P298" s="195"/>
      <c r="Q298" s="227"/>
      <c r="R298" s="226"/>
      <c r="S298" s="227"/>
      <c r="T298" s="203"/>
      <c r="U298" s="183"/>
    </row>
    <row r="299" spans="3:21" s="172" customFormat="1" ht="20.25" customHeight="1">
      <c r="C299" s="185"/>
      <c r="D299" s="190">
        <f t="shared" si="57"/>
        <v>299</v>
      </c>
      <c r="E299" s="194" t="s">
        <v>307</v>
      </c>
      <c r="F299" s="198"/>
      <c r="G299" s="193" t="s">
        <v>115</v>
      </c>
      <c r="H299" s="193"/>
      <c r="I299" s="211">
        <v>6</v>
      </c>
      <c r="J299" s="198" t="str">
        <f>J294</f>
        <v>2500 mm</v>
      </c>
      <c r="K299" s="221">
        <v>1</v>
      </c>
      <c r="L299" s="195" t="s">
        <v>81</v>
      </c>
      <c r="M299" s="214">
        <f t="shared" si="59"/>
        <v>2.5</v>
      </c>
      <c r="N299" s="195" t="s">
        <v>139</v>
      </c>
      <c r="O299" s="233">
        <f>VLOOKUP(I299,BM!$B$3:$Y$62,12,FALSE)</f>
        <v>0.9</v>
      </c>
      <c r="P299" s="195" t="s">
        <v>112</v>
      </c>
      <c r="Q299" s="227">
        <f t="shared" si="60"/>
        <v>2.25</v>
      </c>
      <c r="R299" s="226">
        <v>1</v>
      </c>
      <c r="S299" s="227">
        <f t="shared" si="63"/>
        <v>3.25</v>
      </c>
      <c r="T299" s="203" t="s">
        <v>48</v>
      </c>
      <c r="U299" s="183" t="str">
        <f t="shared" si="61"/>
        <v>3.25 Hrs</v>
      </c>
    </row>
    <row r="300" spans="3:21" s="172" customFormat="1" ht="20.25" customHeight="1">
      <c r="C300" s="185"/>
      <c r="D300" s="190">
        <f t="shared" si="57"/>
        <v>300</v>
      </c>
      <c r="E300" s="194" t="s">
        <v>307</v>
      </c>
      <c r="F300" s="198">
        <f t="shared" si="62"/>
        <v>299</v>
      </c>
      <c r="G300" s="193" t="s">
        <v>115</v>
      </c>
      <c r="H300" s="193"/>
      <c r="I300" s="220">
        <f>I299</f>
        <v>6</v>
      </c>
      <c r="J300" s="198" t="str">
        <f>J295</f>
        <v>2500 mm</v>
      </c>
      <c r="K300" s="221">
        <v>1</v>
      </c>
      <c r="L300" s="195" t="s">
        <v>81</v>
      </c>
      <c r="M300" s="214">
        <f t="shared" si="59"/>
        <v>2.5</v>
      </c>
      <c r="N300" s="195" t="s">
        <v>139</v>
      </c>
      <c r="O300" s="233">
        <f>VLOOKUP(I300,BM!$B$3:$Y$62,12,FALSE)</f>
        <v>0.9</v>
      </c>
      <c r="P300" s="195" t="s">
        <v>112</v>
      </c>
      <c r="Q300" s="227">
        <f t="shared" si="60"/>
        <v>2.25</v>
      </c>
      <c r="R300" s="226">
        <v>1</v>
      </c>
      <c r="S300" s="227">
        <f t="shared" si="63"/>
        <v>3.25</v>
      </c>
      <c r="T300" s="203" t="s">
        <v>48</v>
      </c>
      <c r="U300" s="183" t="str">
        <f t="shared" si="61"/>
        <v>3.25 Hrs</v>
      </c>
    </row>
    <row r="301" spans="3:21" s="172" customFormat="1" ht="20.25" customHeight="1">
      <c r="C301" s="185"/>
      <c r="D301" s="190">
        <f t="shared" si="57"/>
        <v>301</v>
      </c>
      <c r="E301" s="194" t="s">
        <v>307</v>
      </c>
      <c r="F301" s="198">
        <f t="shared" si="62"/>
        <v>300</v>
      </c>
      <c r="G301" s="193" t="s">
        <v>115</v>
      </c>
      <c r="H301" s="193"/>
      <c r="I301" s="220">
        <f>I300</f>
        <v>6</v>
      </c>
      <c r="J301" s="198" t="str">
        <f>J296</f>
        <v>1250 mm</v>
      </c>
      <c r="K301" s="221">
        <v>1</v>
      </c>
      <c r="L301" s="195" t="s">
        <v>81</v>
      </c>
      <c r="M301" s="214">
        <f t="shared" si="59"/>
        <v>1.25</v>
      </c>
      <c r="N301" s="195" t="s">
        <v>139</v>
      </c>
      <c r="O301" s="233">
        <f>VLOOKUP(I301,BM!$B$3:$Y$62,12,FALSE)</f>
        <v>0.9</v>
      </c>
      <c r="P301" s="195" t="s">
        <v>112</v>
      </c>
      <c r="Q301" s="227">
        <f t="shared" si="60"/>
        <v>1.125</v>
      </c>
      <c r="R301" s="226">
        <v>1</v>
      </c>
      <c r="S301" s="227">
        <f t="shared" si="63"/>
        <v>2.13</v>
      </c>
      <c r="T301" s="203" t="s">
        <v>48</v>
      </c>
      <c r="U301" s="183" t="str">
        <f t="shared" si="61"/>
        <v>2.13 Hrs</v>
      </c>
    </row>
    <row r="302" spans="3:21" s="172" customFormat="1" ht="20.25" customHeight="1">
      <c r="C302" s="185"/>
      <c r="D302" s="190">
        <f t="shared" si="57"/>
        <v>302</v>
      </c>
      <c r="E302" s="194" t="s">
        <v>307</v>
      </c>
      <c r="F302" s="198">
        <f t="shared" si="62"/>
        <v>301</v>
      </c>
      <c r="G302" s="193" t="s">
        <v>115</v>
      </c>
      <c r="H302" s="193"/>
      <c r="I302" s="220">
        <f>I301</f>
        <v>6</v>
      </c>
      <c r="J302" s="198" t="str">
        <f>J297</f>
        <v>0 mm</v>
      </c>
      <c r="K302" s="221">
        <v>1</v>
      </c>
      <c r="L302" s="195" t="s">
        <v>81</v>
      </c>
      <c r="M302" s="214">
        <f t="shared" si="59"/>
        <v>0</v>
      </c>
      <c r="N302" s="195" t="s">
        <v>139</v>
      </c>
      <c r="O302" s="233">
        <f>VLOOKUP(I302,BM!$B$3:$Y$62,12,FALSE)</f>
        <v>0.9</v>
      </c>
      <c r="P302" s="195" t="s">
        <v>112</v>
      </c>
      <c r="Q302" s="227">
        <f t="shared" si="60"/>
        <v>0</v>
      </c>
      <c r="R302" s="226">
        <v>1</v>
      </c>
      <c r="S302" s="227">
        <f t="shared" si="63"/>
        <v>1</v>
      </c>
      <c r="T302" s="203" t="s">
        <v>48</v>
      </c>
      <c r="U302" s="183" t="str">
        <f t="shared" si="61"/>
        <v>1 Hrs</v>
      </c>
    </row>
    <row r="303" spans="3:21" s="172" customFormat="1" ht="20.25" customHeight="1">
      <c r="C303" s="185">
        <f>D303</f>
        <v>303</v>
      </c>
      <c r="D303" s="190">
        <f t="shared" si="57"/>
        <v>303</v>
      </c>
      <c r="E303" s="196" t="s">
        <v>308</v>
      </c>
      <c r="F303" s="197">
        <f>D298</f>
        <v>298</v>
      </c>
      <c r="G303" s="193"/>
      <c r="H303" s="193"/>
      <c r="I303" s="195"/>
      <c r="J303" s="195"/>
      <c r="K303" s="221"/>
      <c r="L303" s="195"/>
      <c r="M303" s="204"/>
      <c r="N303" s="195"/>
      <c r="O303" s="205"/>
      <c r="P303" s="195"/>
      <c r="Q303" s="227"/>
      <c r="R303" s="226"/>
      <c r="S303" s="227"/>
      <c r="T303" s="203"/>
      <c r="U303" s="183"/>
    </row>
    <row r="304" spans="3:21" s="172" customFormat="1" ht="20.25" customHeight="1">
      <c r="C304" s="185"/>
      <c r="D304" s="190">
        <f t="shared" si="57"/>
        <v>304</v>
      </c>
      <c r="E304" s="194" t="s">
        <v>309</v>
      </c>
      <c r="F304" s="198"/>
      <c r="G304" s="193" t="s">
        <v>61</v>
      </c>
      <c r="H304" s="193"/>
      <c r="I304" s="220">
        <f>I294</f>
        <v>18</v>
      </c>
      <c r="J304" s="198" t="str">
        <f>J299</f>
        <v>2500 mm</v>
      </c>
      <c r="K304" s="221">
        <v>1</v>
      </c>
      <c r="L304" s="195" t="s">
        <v>81</v>
      </c>
      <c r="M304" s="214">
        <f t="shared" si="59"/>
        <v>2.5</v>
      </c>
      <c r="N304" s="195" t="s">
        <v>139</v>
      </c>
      <c r="O304" s="233">
        <f>VLOOKUP(I304,BM!$B$3:$Y$62,20,FALSE)</f>
        <v>0.5</v>
      </c>
      <c r="P304" s="195" t="s">
        <v>112</v>
      </c>
      <c r="Q304" s="227">
        <f t="shared" si="60"/>
        <v>1.25</v>
      </c>
      <c r="R304" s="226">
        <v>1</v>
      </c>
      <c r="S304" s="227">
        <f t="shared" si="63"/>
        <v>2.25</v>
      </c>
      <c r="T304" s="203" t="s">
        <v>48</v>
      </c>
      <c r="U304" s="183" t="str">
        <f t="shared" si="61"/>
        <v>2.25 Hrs</v>
      </c>
    </row>
    <row r="305" spans="3:21" s="172" customFormat="1" ht="20.25" customHeight="1">
      <c r="C305" s="185"/>
      <c r="D305" s="190">
        <f t="shared" si="57"/>
        <v>305</v>
      </c>
      <c r="E305" s="194" t="s">
        <v>309</v>
      </c>
      <c r="F305" s="198">
        <f t="shared" si="62"/>
        <v>304</v>
      </c>
      <c r="G305" s="193" t="s">
        <v>61</v>
      </c>
      <c r="H305" s="193"/>
      <c r="I305" s="220">
        <f t="shared" ref="I305:I307" si="64">I304</f>
        <v>18</v>
      </c>
      <c r="J305" s="198" t="str">
        <f>J300</f>
        <v>2500 mm</v>
      </c>
      <c r="K305" s="221">
        <v>1</v>
      </c>
      <c r="L305" s="195" t="s">
        <v>81</v>
      </c>
      <c r="M305" s="214">
        <f t="shared" si="59"/>
        <v>2.5</v>
      </c>
      <c r="N305" s="195" t="s">
        <v>139</v>
      </c>
      <c r="O305" s="233">
        <f>VLOOKUP(I305,BM!$B$3:$Y$62,20,FALSE)</f>
        <v>0.5</v>
      </c>
      <c r="P305" s="195" t="s">
        <v>112</v>
      </c>
      <c r="Q305" s="227">
        <f t="shared" si="60"/>
        <v>1.25</v>
      </c>
      <c r="R305" s="226">
        <v>1</v>
      </c>
      <c r="S305" s="227">
        <f t="shared" si="63"/>
        <v>2.25</v>
      </c>
      <c r="T305" s="203" t="s">
        <v>48</v>
      </c>
      <c r="U305" s="183" t="str">
        <f t="shared" si="61"/>
        <v>2.25 Hrs</v>
      </c>
    </row>
    <row r="306" spans="3:21" s="172" customFormat="1" ht="20.25" customHeight="1">
      <c r="C306" s="185"/>
      <c r="D306" s="190">
        <f t="shared" si="57"/>
        <v>306</v>
      </c>
      <c r="E306" s="194" t="s">
        <v>309</v>
      </c>
      <c r="F306" s="198">
        <f t="shared" si="62"/>
        <v>305</v>
      </c>
      <c r="G306" s="193" t="s">
        <v>61</v>
      </c>
      <c r="H306" s="193"/>
      <c r="I306" s="220">
        <f t="shared" si="64"/>
        <v>18</v>
      </c>
      <c r="J306" s="198" t="str">
        <f>J301</f>
        <v>1250 mm</v>
      </c>
      <c r="K306" s="221">
        <v>1</v>
      </c>
      <c r="L306" s="195" t="s">
        <v>81</v>
      </c>
      <c r="M306" s="214">
        <f t="shared" si="59"/>
        <v>1.25</v>
      </c>
      <c r="N306" s="195" t="s">
        <v>139</v>
      </c>
      <c r="O306" s="233">
        <f>VLOOKUP(I306,BM!$B$3:$Y$62,20,FALSE)</f>
        <v>0.5</v>
      </c>
      <c r="P306" s="195" t="s">
        <v>112</v>
      </c>
      <c r="Q306" s="227">
        <f t="shared" si="60"/>
        <v>0.625</v>
      </c>
      <c r="R306" s="226">
        <v>1</v>
      </c>
      <c r="S306" s="227">
        <f t="shared" si="63"/>
        <v>1.63</v>
      </c>
      <c r="T306" s="203" t="s">
        <v>48</v>
      </c>
      <c r="U306" s="183" t="str">
        <f t="shared" si="61"/>
        <v>1.63 Hrs</v>
      </c>
    </row>
    <row r="307" spans="3:21" s="172" customFormat="1" ht="20.25" customHeight="1">
      <c r="C307" s="185"/>
      <c r="D307" s="190">
        <f t="shared" si="57"/>
        <v>307</v>
      </c>
      <c r="E307" s="194" t="s">
        <v>309</v>
      </c>
      <c r="F307" s="198">
        <f t="shared" si="62"/>
        <v>306</v>
      </c>
      <c r="G307" s="193" t="s">
        <v>61</v>
      </c>
      <c r="H307" s="193"/>
      <c r="I307" s="220">
        <f t="shared" si="64"/>
        <v>18</v>
      </c>
      <c r="J307" s="198" t="str">
        <f>J302</f>
        <v>0 mm</v>
      </c>
      <c r="K307" s="221">
        <v>1</v>
      </c>
      <c r="L307" s="195" t="s">
        <v>81</v>
      </c>
      <c r="M307" s="214">
        <f t="shared" si="59"/>
        <v>0</v>
      </c>
      <c r="N307" s="195" t="s">
        <v>139</v>
      </c>
      <c r="O307" s="233">
        <f>VLOOKUP(I307,BM!$B$3:$Y$62,20,FALSE)</f>
        <v>0.5</v>
      </c>
      <c r="P307" s="195" t="s">
        <v>112</v>
      </c>
      <c r="Q307" s="227">
        <f t="shared" si="60"/>
        <v>0</v>
      </c>
      <c r="R307" s="226">
        <v>1</v>
      </c>
      <c r="S307" s="227">
        <f t="shared" si="63"/>
        <v>1</v>
      </c>
      <c r="T307" s="203" t="s">
        <v>48</v>
      </c>
      <c r="U307" s="183" t="str">
        <f t="shared" si="61"/>
        <v>1 Hrs</v>
      </c>
    </row>
    <row r="308" spans="3:21" s="172" customFormat="1" ht="20.25" customHeight="1">
      <c r="C308" s="185">
        <f>D308</f>
        <v>308</v>
      </c>
      <c r="D308" s="190">
        <f t="shared" si="57"/>
        <v>308</v>
      </c>
      <c r="E308" s="196" t="s">
        <v>310</v>
      </c>
      <c r="F308" s="197">
        <f>D303</f>
        <v>303</v>
      </c>
      <c r="G308" s="193"/>
      <c r="H308" s="193"/>
      <c r="I308" s="195"/>
      <c r="J308" s="195"/>
      <c r="K308" s="221"/>
      <c r="L308" s="195"/>
      <c r="M308" s="204"/>
      <c r="N308" s="195"/>
      <c r="O308" s="205"/>
      <c r="P308" s="195"/>
      <c r="Q308" s="227"/>
      <c r="R308" s="226"/>
      <c r="S308" s="227"/>
      <c r="T308" s="203"/>
      <c r="U308" s="183"/>
    </row>
    <row r="309" spans="3:21" s="172" customFormat="1" ht="20.25" customHeight="1">
      <c r="C309" s="185"/>
      <c r="D309" s="190">
        <f t="shared" si="57"/>
        <v>309</v>
      </c>
      <c r="E309" s="194" t="s">
        <v>311</v>
      </c>
      <c r="F309" s="198"/>
      <c r="G309" s="193" t="s">
        <v>312</v>
      </c>
      <c r="H309" s="193"/>
      <c r="I309" s="220">
        <f>I307</f>
        <v>18</v>
      </c>
      <c r="J309" s="198" t="str">
        <f>J304</f>
        <v>2500 mm</v>
      </c>
      <c r="K309" s="221">
        <v>1</v>
      </c>
      <c r="L309" s="195" t="s">
        <v>81</v>
      </c>
      <c r="M309" s="204">
        <v>1</v>
      </c>
      <c r="N309" s="195" t="s">
        <v>39</v>
      </c>
      <c r="O309" s="205">
        <v>1</v>
      </c>
      <c r="P309" s="195" t="s">
        <v>41</v>
      </c>
      <c r="Q309" s="227">
        <f t="shared" si="60"/>
        <v>1</v>
      </c>
      <c r="R309" s="226"/>
      <c r="S309" s="227">
        <f t="shared" si="63"/>
        <v>1</v>
      </c>
      <c r="T309" s="203" t="s">
        <v>42</v>
      </c>
      <c r="U309" s="183" t="str">
        <f t="shared" si="61"/>
        <v>1 Days</v>
      </c>
    </row>
    <row r="310" spans="3:21" s="172" customFormat="1" ht="20.25" customHeight="1">
      <c r="C310" s="185"/>
      <c r="D310" s="190">
        <f t="shared" si="57"/>
        <v>310</v>
      </c>
      <c r="E310" s="194" t="s">
        <v>311</v>
      </c>
      <c r="F310" s="198">
        <f t="shared" si="62"/>
        <v>309</v>
      </c>
      <c r="G310" s="193" t="s">
        <v>312</v>
      </c>
      <c r="H310" s="193"/>
      <c r="I310" s="220">
        <f t="shared" ref="I310:I312" si="65">I309</f>
        <v>18</v>
      </c>
      <c r="J310" s="198" t="str">
        <f>J305</f>
        <v>2500 mm</v>
      </c>
      <c r="K310" s="221">
        <v>1</v>
      </c>
      <c r="L310" s="195" t="s">
        <v>81</v>
      </c>
      <c r="M310" s="204">
        <v>1</v>
      </c>
      <c r="N310" s="195" t="s">
        <v>39</v>
      </c>
      <c r="O310" s="233">
        <f t="shared" ref="O310:P312" si="66">O309</f>
        <v>1</v>
      </c>
      <c r="P310" s="198" t="str">
        <f t="shared" si="66"/>
        <v>Day</v>
      </c>
      <c r="Q310" s="227">
        <f t="shared" si="60"/>
        <v>1</v>
      </c>
      <c r="R310" s="226"/>
      <c r="S310" s="227">
        <f t="shared" si="63"/>
        <v>1</v>
      </c>
      <c r="T310" s="203" t="s">
        <v>42</v>
      </c>
      <c r="U310" s="183" t="str">
        <f t="shared" si="61"/>
        <v>1 Days</v>
      </c>
    </row>
    <row r="311" spans="3:21" s="172" customFormat="1" ht="20.25" customHeight="1">
      <c r="C311" s="185"/>
      <c r="D311" s="190">
        <f t="shared" si="57"/>
        <v>311</v>
      </c>
      <c r="E311" s="194" t="s">
        <v>311</v>
      </c>
      <c r="F311" s="198">
        <f t="shared" si="62"/>
        <v>310</v>
      </c>
      <c r="G311" s="193" t="s">
        <v>312</v>
      </c>
      <c r="H311" s="193"/>
      <c r="I311" s="220">
        <f t="shared" si="65"/>
        <v>18</v>
      </c>
      <c r="J311" s="198" t="str">
        <f>J306</f>
        <v>1250 mm</v>
      </c>
      <c r="K311" s="221">
        <v>1</v>
      </c>
      <c r="L311" s="195" t="s">
        <v>81</v>
      </c>
      <c r="M311" s="204">
        <v>1</v>
      </c>
      <c r="N311" s="195" t="s">
        <v>39</v>
      </c>
      <c r="O311" s="233">
        <f t="shared" si="66"/>
        <v>1</v>
      </c>
      <c r="P311" s="198" t="str">
        <f t="shared" si="66"/>
        <v>Day</v>
      </c>
      <c r="Q311" s="227">
        <f t="shared" si="60"/>
        <v>1</v>
      </c>
      <c r="R311" s="226"/>
      <c r="S311" s="227">
        <f t="shared" si="63"/>
        <v>1</v>
      </c>
      <c r="T311" s="203" t="s">
        <v>42</v>
      </c>
      <c r="U311" s="183" t="str">
        <f t="shared" si="61"/>
        <v>1 Days</v>
      </c>
    </row>
    <row r="312" spans="3:21" s="172" customFormat="1" ht="20.25" customHeight="1">
      <c r="C312" s="185"/>
      <c r="D312" s="190">
        <f t="shared" si="57"/>
        <v>312</v>
      </c>
      <c r="E312" s="194" t="s">
        <v>311</v>
      </c>
      <c r="F312" s="198">
        <f t="shared" si="62"/>
        <v>311</v>
      </c>
      <c r="G312" s="193" t="s">
        <v>312</v>
      </c>
      <c r="H312" s="193"/>
      <c r="I312" s="220">
        <f t="shared" si="65"/>
        <v>18</v>
      </c>
      <c r="J312" s="198" t="str">
        <f>J307</f>
        <v>0 mm</v>
      </c>
      <c r="K312" s="221">
        <v>1</v>
      </c>
      <c r="L312" s="195" t="s">
        <v>81</v>
      </c>
      <c r="M312" s="204">
        <v>1</v>
      </c>
      <c r="N312" s="195" t="s">
        <v>39</v>
      </c>
      <c r="O312" s="233">
        <f t="shared" si="66"/>
        <v>1</v>
      </c>
      <c r="P312" s="198" t="str">
        <f t="shared" si="66"/>
        <v>Day</v>
      </c>
      <c r="Q312" s="227">
        <f t="shared" si="60"/>
        <v>1</v>
      </c>
      <c r="R312" s="226"/>
      <c r="S312" s="227">
        <f t="shared" si="63"/>
        <v>1</v>
      </c>
      <c r="T312" s="203" t="s">
        <v>42</v>
      </c>
      <c r="U312" s="183" t="str">
        <f t="shared" si="61"/>
        <v>1 Days</v>
      </c>
    </row>
    <row r="313" spans="3:21" s="172" customFormat="1" ht="20.25" customHeight="1">
      <c r="C313" s="185">
        <f>D313</f>
        <v>313</v>
      </c>
      <c r="D313" s="190">
        <f t="shared" si="57"/>
        <v>313</v>
      </c>
      <c r="E313" s="196" t="s">
        <v>313</v>
      </c>
      <c r="F313" s="197">
        <f>D308</f>
        <v>308</v>
      </c>
      <c r="G313" s="193"/>
      <c r="H313" s="193"/>
      <c r="I313" s="195"/>
      <c r="J313" s="195"/>
      <c r="K313" s="221"/>
      <c r="L313" s="195"/>
      <c r="M313" s="204"/>
      <c r="N313" s="195"/>
      <c r="O313" s="205"/>
      <c r="P313" s="195"/>
      <c r="Q313" s="227">
        <f t="shared" si="60"/>
        <v>0</v>
      </c>
      <c r="R313" s="226"/>
      <c r="S313" s="227"/>
      <c r="T313" s="203"/>
      <c r="U313" s="183"/>
    </row>
    <row r="314" spans="3:21" s="172" customFormat="1" ht="20.25" customHeight="1">
      <c r="C314" s="185"/>
      <c r="D314" s="190">
        <f t="shared" si="57"/>
        <v>314</v>
      </c>
      <c r="E314" s="194" t="s">
        <v>314</v>
      </c>
      <c r="F314" s="198"/>
      <c r="G314" s="193" t="s">
        <v>286</v>
      </c>
      <c r="H314" s="193"/>
      <c r="I314" s="220">
        <f>I312</f>
        <v>18</v>
      </c>
      <c r="J314" s="198" t="str">
        <f>J309</f>
        <v>2500 mm</v>
      </c>
      <c r="K314" s="221">
        <v>1</v>
      </c>
      <c r="L314" s="195" t="s">
        <v>81</v>
      </c>
      <c r="M314" s="222">
        <f>K314</f>
        <v>1</v>
      </c>
      <c r="N314" s="195" t="s">
        <v>39</v>
      </c>
      <c r="O314" s="205">
        <v>3</v>
      </c>
      <c r="P314" s="195" t="s">
        <v>112</v>
      </c>
      <c r="Q314" s="227">
        <f t="shared" si="60"/>
        <v>3</v>
      </c>
      <c r="R314" s="226">
        <v>1</v>
      </c>
      <c r="S314" s="227">
        <f t="shared" si="63"/>
        <v>4</v>
      </c>
      <c r="T314" s="203" t="s">
        <v>48</v>
      </c>
      <c r="U314" s="183" t="str">
        <f t="shared" si="61"/>
        <v>4 Hrs</v>
      </c>
    </row>
    <row r="315" spans="3:21" s="172" customFormat="1" ht="20.25" customHeight="1">
      <c r="C315" s="185"/>
      <c r="D315" s="190">
        <f t="shared" si="57"/>
        <v>315</v>
      </c>
      <c r="E315" s="194" t="s">
        <v>314</v>
      </c>
      <c r="F315" s="198">
        <f t="shared" si="62"/>
        <v>314</v>
      </c>
      <c r="G315" s="193" t="s">
        <v>286</v>
      </c>
      <c r="H315" s="193"/>
      <c r="I315" s="220">
        <f>I312</f>
        <v>18</v>
      </c>
      <c r="J315" s="198" t="str">
        <f>J310</f>
        <v>2500 mm</v>
      </c>
      <c r="K315" s="221">
        <v>1</v>
      </c>
      <c r="L315" s="195" t="s">
        <v>81</v>
      </c>
      <c r="M315" s="222">
        <f>K315</f>
        <v>1</v>
      </c>
      <c r="N315" s="195" t="s">
        <v>39</v>
      </c>
      <c r="O315" s="233">
        <f>O314</f>
        <v>3</v>
      </c>
      <c r="P315" s="195" t="s">
        <v>112</v>
      </c>
      <c r="Q315" s="227">
        <f t="shared" si="60"/>
        <v>3</v>
      </c>
      <c r="R315" s="226">
        <v>1</v>
      </c>
      <c r="S315" s="227">
        <f t="shared" si="63"/>
        <v>4</v>
      </c>
      <c r="T315" s="203" t="s">
        <v>48</v>
      </c>
      <c r="U315" s="183" t="str">
        <f t="shared" si="61"/>
        <v>4 Hrs</v>
      </c>
    </row>
    <row r="316" spans="3:21" s="172" customFormat="1" ht="20.25" customHeight="1">
      <c r="C316" s="185"/>
      <c r="D316" s="190">
        <f t="shared" si="57"/>
        <v>316</v>
      </c>
      <c r="E316" s="194" t="s">
        <v>314</v>
      </c>
      <c r="F316" s="198">
        <f t="shared" si="62"/>
        <v>315</v>
      </c>
      <c r="G316" s="193" t="s">
        <v>286</v>
      </c>
      <c r="H316" s="193"/>
      <c r="I316" s="220">
        <f>I312</f>
        <v>18</v>
      </c>
      <c r="J316" s="198" t="str">
        <f>J311</f>
        <v>1250 mm</v>
      </c>
      <c r="K316" s="221">
        <v>1</v>
      </c>
      <c r="L316" s="195" t="s">
        <v>81</v>
      </c>
      <c r="M316" s="222">
        <f>K316</f>
        <v>1</v>
      </c>
      <c r="N316" s="195" t="s">
        <v>39</v>
      </c>
      <c r="O316" s="233">
        <f>O315</f>
        <v>3</v>
      </c>
      <c r="P316" s="195" t="s">
        <v>112</v>
      </c>
      <c r="Q316" s="227">
        <f t="shared" si="60"/>
        <v>3</v>
      </c>
      <c r="R316" s="226">
        <v>1</v>
      </c>
      <c r="S316" s="227">
        <f t="shared" si="63"/>
        <v>4</v>
      </c>
      <c r="T316" s="203" t="s">
        <v>48</v>
      </c>
      <c r="U316" s="183" t="str">
        <f t="shared" si="61"/>
        <v>4 Hrs</v>
      </c>
    </row>
    <row r="317" spans="3:21" s="172" customFormat="1" ht="20.25" customHeight="1">
      <c r="C317" s="185"/>
      <c r="D317" s="190">
        <f t="shared" si="57"/>
        <v>317</v>
      </c>
      <c r="E317" s="194" t="s">
        <v>314</v>
      </c>
      <c r="F317" s="198">
        <f t="shared" si="62"/>
        <v>316</v>
      </c>
      <c r="G317" s="193" t="s">
        <v>286</v>
      </c>
      <c r="H317" s="193"/>
      <c r="I317" s="220">
        <f>I312</f>
        <v>18</v>
      </c>
      <c r="J317" s="198" t="str">
        <f>J312</f>
        <v>0 mm</v>
      </c>
      <c r="K317" s="221">
        <v>1</v>
      </c>
      <c r="L317" s="195" t="s">
        <v>81</v>
      </c>
      <c r="M317" s="222">
        <f>K317</f>
        <v>1</v>
      </c>
      <c r="N317" s="195" t="s">
        <v>39</v>
      </c>
      <c r="O317" s="233">
        <f>O316</f>
        <v>3</v>
      </c>
      <c r="P317" s="195" t="s">
        <v>112</v>
      </c>
      <c r="Q317" s="227">
        <f t="shared" si="60"/>
        <v>3</v>
      </c>
      <c r="R317" s="226">
        <v>1</v>
      </c>
      <c r="S317" s="227">
        <f t="shared" si="63"/>
        <v>4</v>
      </c>
      <c r="T317" s="203" t="s">
        <v>48</v>
      </c>
      <c r="U317" s="183" t="str">
        <f t="shared" si="61"/>
        <v>4 Hrs</v>
      </c>
    </row>
    <row r="318" spans="3:21" s="172" customFormat="1" ht="20.25" customHeight="1">
      <c r="C318" s="185">
        <f>D318</f>
        <v>318</v>
      </c>
      <c r="D318" s="190">
        <f t="shared" si="57"/>
        <v>318</v>
      </c>
      <c r="E318" s="196" t="s">
        <v>315</v>
      </c>
      <c r="F318" s="197">
        <f>D313</f>
        <v>313</v>
      </c>
      <c r="G318" s="193"/>
      <c r="H318" s="193"/>
      <c r="I318" s="195"/>
      <c r="J318" s="195"/>
      <c r="K318" s="221"/>
      <c r="L318" s="195"/>
      <c r="M318" s="204"/>
      <c r="N318" s="195"/>
      <c r="O318" s="205"/>
      <c r="P318" s="195"/>
      <c r="Q318" s="227"/>
      <c r="R318" s="226"/>
      <c r="S318" s="227"/>
      <c r="T318" s="203"/>
      <c r="U318" s="183"/>
    </row>
    <row r="319" spans="3:21" s="172" customFormat="1" ht="20.25" customHeight="1">
      <c r="C319" s="185"/>
      <c r="D319" s="190">
        <f t="shared" si="57"/>
        <v>319</v>
      </c>
      <c r="E319" s="194" t="s">
        <v>316</v>
      </c>
      <c r="F319" s="198"/>
      <c r="G319" s="193" t="s">
        <v>44</v>
      </c>
      <c r="H319" s="193"/>
      <c r="I319" s="211">
        <v>18</v>
      </c>
      <c r="J319" s="212" t="s">
        <v>317</v>
      </c>
      <c r="K319" s="221">
        <v>1</v>
      </c>
      <c r="L319" s="195" t="s">
        <v>81</v>
      </c>
      <c r="M319" s="214">
        <f>LEFT(J319,SEARCH(" ",J319,1)-1)*3.142*K319*0.001</f>
        <v>4.9015199999999997</v>
      </c>
      <c r="N319" s="195" t="s">
        <v>139</v>
      </c>
      <c r="O319" s="233">
        <f>VLOOKUP(I319,BM!$B$3:$Y$62,10,FALSE)</f>
        <v>1</v>
      </c>
      <c r="P319" s="195" t="s">
        <v>112</v>
      </c>
      <c r="Q319" s="227">
        <f t="shared" si="60"/>
        <v>4.9015199999999997</v>
      </c>
      <c r="R319" s="226">
        <v>1</v>
      </c>
      <c r="S319" s="227">
        <f t="shared" si="63"/>
        <v>5.9</v>
      </c>
      <c r="T319" s="203" t="s">
        <v>48</v>
      </c>
      <c r="U319" s="183" t="str">
        <f t="shared" si="61"/>
        <v>5.9 Hrs</v>
      </c>
    </row>
    <row r="320" spans="3:21" s="172" customFormat="1" ht="20.25" customHeight="1">
      <c r="C320" s="185"/>
      <c r="D320" s="190">
        <f t="shared" si="57"/>
        <v>320</v>
      </c>
      <c r="E320" s="194" t="s">
        <v>316</v>
      </c>
      <c r="F320" s="198">
        <f t="shared" si="62"/>
        <v>319</v>
      </c>
      <c r="G320" s="193" t="s">
        <v>44</v>
      </c>
      <c r="H320" s="193"/>
      <c r="I320" s="211">
        <v>18</v>
      </c>
      <c r="J320" s="198" t="str">
        <f>J319</f>
        <v>1560 mm id</v>
      </c>
      <c r="K320" s="221">
        <v>1</v>
      </c>
      <c r="L320" s="195" t="s">
        <v>81</v>
      </c>
      <c r="M320" s="214">
        <f t="shared" ref="M320:M322" si="67">LEFT(J320,SEARCH(" ",J320,1)-1)*3.142*K320*0.001</f>
        <v>4.9015199999999997</v>
      </c>
      <c r="N320" s="195" t="s">
        <v>139</v>
      </c>
      <c r="O320" s="233">
        <f>VLOOKUP(I320,BM!$B$3:$Y$62,10,FALSE)</f>
        <v>1</v>
      </c>
      <c r="P320" s="195" t="s">
        <v>112</v>
      </c>
      <c r="Q320" s="227">
        <f t="shared" si="60"/>
        <v>4.9015199999999997</v>
      </c>
      <c r="R320" s="226">
        <v>1</v>
      </c>
      <c r="S320" s="227">
        <f t="shared" si="63"/>
        <v>5.9</v>
      </c>
      <c r="T320" s="203" t="s">
        <v>48</v>
      </c>
      <c r="U320" s="183" t="str">
        <f t="shared" si="61"/>
        <v>5.9 Hrs</v>
      </c>
    </row>
    <row r="321" spans="3:21" s="172" customFormat="1" ht="20.25" customHeight="1">
      <c r="C321" s="185"/>
      <c r="D321" s="190">
        <f t="shared" si="57"/>
        <v>321</v>
      </c>
      <c r="E321" s="194" t="s">
        <v>316</v>
      </c>
      <c r="F321" s="198">
        <f t="shared" si="62"/>
        <v>320</v>
      </c>
      <c r="G321" s="193" t="s">
        <v>44</v>
      </c>
      <c r="H321" s="193"/>
      <c r="I321" s="211">
        <v>18</v>
      </c>
      <c r="J321" s="198" t="str">
        <f>J320</f>
        <v>1560 mm id</v>
      </c>
      <c r="K321" s="221">
        <v>1</v>
      </c>
      <c r="L321" s="195" t="s">
        <v>81</v>
      </c>
      <c r="M321" s="214">
        <f t="shared" si="67"/>
        <v>4.9015199999999997</v>
      </c>
      <c r="N321" s="195" t="s">
        <v>139</v>
      </c>
      <c r="O321" s="233">
        <f>VLOOKUP(I321,BM!$B$3:$Y$62,10,FALSE)</f>
        <v>1</v>
      </c>
      <c r="P321" s="195" t="s">
        <v>112</v>
      </c>
      <c r="Q321" s="227">
        <f t="shared" si="60"/>
        <v>4.9015199999999997</v>
      </c>
      <c r="R321" s="226">
        <v>1</v>
      </c>
      <c r="S321" s="227">
        <f t="shared" si="63"/>
        <v>5.9</v>
      </c>
      <c r="T321" s="203" t="s">
        <v>48</v>
      </c>
      <c r="U321" s="183" t="str">
        <f t="shared" si="61"/>
        <v>5.9 Hrs</v>
      </c>
    </row>
    <row r="322" spans="3:21" s="172" customFormat="1" ht="20.25" customHeight="1">
      <c r="C322" s="185"/>
      <c r="D322" s="190">
        <f t="shared" si="57"/>
        <v>322</v>
      </c>
      <c r="E322" s="194" t="s">
        <v>316</v>
      </c>
      <c r="F322" s="198">
        <f t="shared" si="62"/>
        <v>321</v>
      </c>
      <c r="G322" s="193" t="s">
        <v>44</v>
      </c>
      <c r="H322" s="193"/>
      <c r="I322" s="211">
        <v>18</v>
      </c>
      <c r="J322" s="198" t="s">
        <v>318</v>
      </c>
      <c r="K322" s="221">
        <v>1</v>
      </c>
      <c r="L322" s="195" t="s">
        <v>81</v>
      </c>
      <c r="M322" s="214">
        <f t="shared" si="67"/>
        <v>0</v>
      </c>
      <c r="N322" s="195" t="s">
        <v>139</v>
      </c>
      <c r="O322" s="233">
        <f>VLOOKUP(I322,BM!$B$3:$Y$62,10,FALSE)</f>
        <v>1</v>
      </c>
      <c r="P322" s="195" t="s">
        <v>112</v>
      </c>
      <c r="Q322" s="227">
        <f t="shared" si="60"/>
        <v>0</v>
      </c>
      <c r="R322" s="226">
        <v>1</v>
      </c>
      <c r="S322" s="227">
        <f t="shared" si="63"/>
        <v>1</v>
      </c>
      <c r="T322" s="203" t="s">
        <v>48</v>
      </c>
      <c r="U322" s="183" t="str">
        <f t="shared" si="61"/>
        <v>1 Hrs</v>
      </c>
    </row>
    <row r="323" spans="3:21" s="172" customFormat="1" ht="20.25" customHeight="1">
      <c r="C323" s="185">
        <f>D323</f>
        <v>323</v>
      </c>
      <c r="D323" s="190">
        <f t="shared" ref="D323:D386" si="68">D322+1</f>
        <v>323</v>
      </c>
      <c r="E323" s="196" t="s">
        <v>319</v>
      </c>
      <c r="F323" s="197">
        <f>D318</f>
        <v>318</v>
      </c>
      <c r="G323" s="193"/>
      <c r="H323" s="193"/>
      <c r="I323" s="195"/>
      <c r="J323" s="195"/>
      <c r="K323" s="221"/>
      <c r="L323" s="195"/>
      <c r="M323" s="204"/>
      <c r="N323" s="195"/>
      <c r="O323" s="205"/>
      <c r="P323" s="195"/>
      <c r="Q323" s="227"/>
      <c r="R323" s="226"/>
      <c r="S323" s="227"/>
      <c r="T323" s="203"/>
      <c r="U323" s="183"/>
    </row>
    <row r="324" spans="3:21" s="172" customFormat="1" ht="20.25" customHeight="1">
      <c r="C324" s="185"/>
      <c r="D324" s="190">
        <f t="shared" si="68"/>
        <v>324</v>
      </c>
      <c r="E324" s="194" t="s">
        <v>320</v>
      </c>
      <c r="F324" s="198"/>
      <c r="G324" s="193" t="s">
        <v>299</v>
      </c>
      <c r="H324" s="193"/>
      <c r="I324" s="211">
        <v>18</v>
      </c>
      <c r="J324" s="198" t="str">
        <f>J321</f>
        <v>1560 mm id</v>
      </c>
      <c r="K324" s="221">
        <v>1</v>
      </c>
      <c r="L324" s="195" t="s">
        <v>81</v>
      </c>
      <c r="M324" s="214">
        <f t="shared" ref="M324:M325" si="69">LEFT(J324,SEARCH(" ",J324,1)-1)*3.142*K324*0.001</f>
        <v>4.9015199999999997</v>
      </c>
      <c r="N324" s="195" t="s">
        <v>139</v>
      </c>
      <c r="O324" s="233">
        <f>VLOOKUP(I324,BM!$B$3:$Y$62,10,FALSE)</f>
        <v>1</v>
      </c>
      <c r="P324" s="195" t="s">
        <v>112</v>
      </c>
      <c r="Q324" s="227">
        <f t="shared" si="60"/>
        <v>4.9015199999999997</v>
      </c>
      <c r="R324" s="226">
        <v>1</v>
      </c>
      <c r="S324" s="227">
        <f t="shared" si="63"/>
        <v>5.9</v>
      </c>
      <c r="T324" s="203" t="s">
        <v>48</v>
      </c>
      <c r="U324" s="183" t="str">
        <f t="shared" si="61"/>
        <v>5.9 Hrs</v>
      </c>
    </row>
    <row r="325" spans="3:21" s="172" customFormat="1" ht="20.25" customHeight="1">
      <c r="C325" s="185"/>
      <c r="D325" s="190">
        <f t="shared" si="68"/>
        <v>325</v>
      </c>
      <c r="E325" s="194" t="s">
        <v>321</v>
      </c>
      <c r="F325" s="198">
        <f t="shared" si="62"/>
        <v>324</v>
      </c>
      <c r="G325" s="193" t="s">
        <v>44</v>
      </c>
      <c r="H325" s="193"/>
      <c r="I325" s="211">
        <v>18</v>
      </c>
      <c r="J325" s="198" t="str">
        <f t="shared" ref="J325" si="70">J324</f>
        <v>1560 mm id</v>
      </c>
      <c r="K325" s="221">
        <v>1</v>
      </c>
      <c r="L325" s="195" t="s">
        <v>81</v>
      </c>
      <c r="M325" s="214">
        <f t="shared" si="69"/>
        <v>4.9015199999999997</v>
      </c>
      <c r="N325" s="195" t="s">
        <v>139</v>
      </c>
      <c r="O325" s="205">
        <v>1</v>
      </c>
      <c r="P325" s="195" t="s">
        <v>112</v>
      </c>
      <c r="Q325" s="227">
        <f t="shared" si="60"/>
        <v>4.9015199999999997</v>
      </c>
      <c r="R325" s="226">
        <v>1</v>
      </c>
      <c r="S325" s="227">
        <f t="shared" si="63"/>
        <v>5.9</v>
      </c>
      <c r="T325" s="203" t="s">
        <v>48</v>
      </c>
      <c r="U325" s="183" t="str">
        <f t="shared" si="61"/>
        <v>5.9 Hrs</v>
      </c>
    </row>
    <row r="326" spans="3:21" s="172" customFormat="1" ht="20.25" customHeight="1">
      <c r="C326" s="185">
        <f>D326</f>
        <v>326</v>
      </c>
      <c r="D326" s="190">
        <f t="shared" si="68"/>
        <v>326</v>
      </c>
      <c r="E326" s="196" t="s">
        <v>322</v>
      </c>
      <c r="F326" s="197">
        <f>D323</f>
        <v>323</v>
      </c>
      <c r="G326" s="193"/>
      <c r="H326" s="193"/>
      <c r="I326" s="195"/>
      <c r="J326" s="195"/>
      <c r="K326" s="221"/>
      <c r="L326" s="195"/>
      <c r="M326" s="204"/>
      <c r="N326" s="195"/>
      <c r="O326" s="205"/>
      <c r="P326" s="195"/>
      <c r="Q326" s="227"/>
      <c r="R326" s="226"/>
      <c r="S326" s="227"/>
      <c r="T326" s="203"/>
      <c r="U326" s="183"/>
    </row>
    <row r="327" spans="3:21" s="172" customFormat="1" ht="20.25" customHeight="1">
      <c r="C327" s="185"/>
      <c r="D327" s="190">
        <f t="shared" si="68"/>
        <v>327</v>
      </c>
      <c r="E327" s="194" t="s">
        <v>323</v>
      </c>
      <c r="F327" s="198"/>
      <c r="G327" s="193" t="s">
        <v>44</v>
      </c>
      <c r="H327" s="193"/>
      <c r="I327" s="211">
        <v>18</v>
      </c>
      <c r="J327" s="195" t="str">
        <f>J325</f>
        <v>1560 mm id</v>
      </c>
      <c r="K327" s="221">
        <v>1</v>
      </c>
      <c r="L327" s="195" t="s">
        <v>81</v>
      </c>
      <c r="M327" s="204">
        <v>1</v>
      </c>
      <c r="N327" s="195" t="s">
        <v>81</v>
      </c>
      <c r="O327" s="205">
        <v>1</v>
      </c>
      <c r="P327" s="195" t="s">
        <v>112</v>
      </c>
      <c r="Q327" s="227">
        <f t="shared" si="60"/>
        <v>1</v>
      </c>
      <c r="R327" s="226">
        <v>1</v>
      </c>
      <c r="S327" s="227">
        <f t="shared" si="63"/>
        <v>2</v>
      </c>
      <c r="T327" s="203" t="s">
        <v>48</v>
      </c>
      <c r="U327" s="183" t="str">
        <f t="shared" si="61"/>
        <v>2 Hrs</v>
      </c>
    </row>
    <row r="328" spans="3:21" s="172" customFormat="1" ht="20.25" customHeight="1">
      <c r="C328" s="185"/>
      <c r="D328" s="190">
        <f t="shared" si="68"/>
        <v>328</v>
      </c>
      <c r="E328" s="194" t="s">
        <v>324</v>
      </c>
      <c r="F328" s="198">
        <f t="shared" si="62"/>
        <v>327</v>
      </c>
      <c r="G328" s="193" t="s">
        <v>115</v>
      </c>
      <c r="H328" s="193"/>
      <c r="I328" s="220">
        <f>12</f>
        <v>12</v>
      </c>
      <c r="J328" s="195" t="str">
        <f>J327</f>
        <v>1560 mm id</v>
      </c>
      <c r="K328" s="221">
        <v>1</v>
      </c>
      <c r="L328" s="195" t="s">
        <v>81</v>
      </c>
      <c r="M328" s="214">
        <f t="shared" ref="M328:M331" si="71">LEFT(J328,SEARCH(" ",J328,1)-1)*3.142*K328*0.001</f>
        <v>4.9015199999999997</v>
      </c>
      <c r="N328" s="195" t="s">
        <v>139</v>
      </c>
      <c r="O328" s="233">
        <f>VLOOKUP(I328,BM!$B$3:$Y$62,17,FALSE)</f>
        <v>2.5</v>
      </c>
      <c r="P328" s="195" t="s">
        <v>112</v>
      </c>
      <c r="Q328" s="227">
        <f t="shared" si="60"/>
        <v>12.253799999999998</v>
      </c>
      <c r="R328" s="226">
        <v>1</v>
      </c>
      <c r="S328" s="227">
        <f t="shared" si="63"/>
        <v>13.25</v>
      </c>
      <c r="T328" s="203" t="s">
        <v>48</v>
      </c>
      <c r="U328" s="183" t="str">
        <f t="shared" si="61"/>
        <v>13.25 Hrs</v>
      </c>
    </row>
    <row r="329" spans="3:21" s="172" customFormat="1" ht="20.25" customHeight="1">
      <c r="C329" s="185"/>
      <c r="D329" s="190">
        <f t="shared" si="68"/>
        <v>329</v>
      </c>
      <c r="E329" s="194" t="s">
        <v>325</v>
      </c>
      <c r="F329" s="198">
        <f t="shared" si="62"/>
        <v>328</v>
      </c>
      <c r="G329" s="193" t="s">
        <v>61</v>
      </c>
      <c r="H329" s="193"/>
      <c r="I329" s="220">
        <f>18</f>
        <v>18</v>
      </c>
      <c r="J329" s="195" t="str">
        <f>J328</f>
        <v>1560 mm id</v>
      </c>
      <c r="K329" s="221">
        <v>1</v>
      </c>
      <c r="L329" s="195" t="s">
        <v>81</v>
      </c>
      <c r="M329" s="214">
        <f t="shared" si="71"/>
        <v>4.9015199999999997</v>
      </c>
      <c r="N329" s="195" t="s">
        <v>139</v>
      </c>
      <c r="O329" s="233">
        <f>VLOOKUP(I329,BM!$B$3:$Y$62,18,FALSE)</f>
        <v>1</v>
      </c>
      <c r="P329" s="195" t="s">
        <v>112</v>
      </c>
      <c r="Q329" s="227">
        <f t="shared" si="60"/>
        <v>4.9015199999999997</v>
      </c>
      <c r="R329" s="226">
        <v>1</v>
      </c>
      <c r="S329" s="227">
        <f t="shared" si="63"/>
        <v>5.9</v>
      </c>
      <c r="T329" s="203" t="s">
        <v>48</v>
      </c>
      <c r="U329" s="183" t="str">
        <f t="shared" si="61"/>
        <v>5.9 Hrs</v>
      </c>
    </row>
    <row r="330" spans="3:21" s="172" customFormat="1" ht="20.25" customHeight="1">
      <c r="C330" s="185"/>
      <c r="D330" s="190">
        <f t="shared" si="68"/>
        <v>330</v>
      </c>
      <c r="E330" s="194" t="s">
        <v>326</v>
      </c>
      <c r="F330" s="198">
        <f t="shared" si="62"/>
        <v>329</v>
      </c>
      <c r="G330" s="193" t="s">
        <v>115</v>
      </c>
      <c r="H330" s="193"/>
      <c r="I330" s="211">
        <v>6</v>
      </c>
      <c r="J330" s="195" t="str">
        <f>J329</f>
        <v>1560 mm id</v>
      </c>
      <c r="K330" s="221">
        <v>1</v>
      </c>
      <c r="L330" s="195" t="s">
        <v>81</v>
      </c>
      <c r="M330" s="214">
        <f t="shared" si="71"/>
        <v>4.9015199999999997</v>
      </c>
      <c r="N330" s="195" t="s">
        <v>139</v>
      </c>
      <c r="O330" s="233">
        <f>VLOOKUP(I330,BM!$B$3:$Y$62,17,FALSE)</f>
        <v>0.9</v>
      </c>
      <c r="P330" s="195" t="s">
        <v>112</v>
      </c>
      <c r="Q330" s="227">
        <f t="shared" si="60"/>
        <v>4.4113679999999995</v>
      </c>
      <c r="R330" s="226">
        <v>1</v>
      </c>
      <c r="S330" s="227">
        <f t="shared" si="63"/>
        <v>5.41</v>
      </c>
      <c r="T330" s="203" t="s">
        <v>48</v>
      </c>
      <c r="U330" s="183" t="str">
        <f t="shared" si="61"/>
        <v>5.41 Hrs</v>
      </c>
    </row>
    <row r="331" spans="3:21" s="172" customFormat="1" ht="20.25" customHeight="1">
      <c r="C331" s="185"/>
      <c r="D331" s="190">
        <f t="shared" si="68"/>
        <v>331</v>
      </c>
      <c r="E331" s="194" t="s">
        <v>327</v>
      </c>
      <c r="F331" s="198">
        <f t="shared" si="62"/>
        <v>330</v>
      </c>
      <c r="G331" s="193" t="s">
        <v>61</v>
      </c>
      <c r="H331" s="193"/>
      <c r="I331" s="211">
        <v>18</v>
      </c>
      <c r="J331" s="195" t="str">
        <f>J330</f>
        <v>1560 mm id</v>
      </c>
      <c r="K331" s="221">
        <v>1</v>
      </c>
      <c r="L331" s="195" t="s">
        <v>81</v>
      </c>
      <c r="M331" s="214">
        <f t="shared" si="71"/>
        <v>4.9015199999999997</v>
      </c>
      <c r="N331" s="195" t="s">
        <v>139</v>
      </c>
      <c r="O331" s="233">
        <f>VLOOKUP(I331,BM!$B$3:$Y$62,20,FALSE)</f>
        <v>0.5</v>
      </c>
      <c r="P331" s="195" t="s">
        <v>112</v>
      </c>
      <c r="Q331" s="227">
        <f t="shared" si="60"/>
        <v>2.4507599999999998</v>
      </c>
      <c r="R331" s="226">
        <v>1</v>
      </c>
      <c r="S331" s="227">
        <f t="shared" si="63"/>
        <v>3.45</v>
      </c>
      <c r="T331" s="203" t="s">
        <v>48</v>
      </c>
      <c r="U331" s="183" t="str">
        <f t="shared" si="61"/>
        <v>3.45 Hrs</v>
      </c>
    </row>
    <row r="332" spans="3:21" s="172" customFormat="1" ht="20.25" customHeight="1">
      <c r="C332" s="185">
        <f>D332</f>
        <v>332</v>
      </c>
      <c r="D332" s="190">
        <f t="shared" si="68"/>
        <v>332</v>
      </c>
      <c r="E332" s="196" t="s">
        <v>328</v>
      </c>
      <c r="F332" s="197">
        <f>D326</f>
        <v>326</v>
      </c>
      <c r="G332" s="193"/>
      <c r="H332" s="193"/>
      <c r="I332" s="195"/>
      <c r="J332" s="195"/>
      <c r="K332" s="221"/>
      <c r="L332" s="195"/>
      <c r="M332" s="204"/>
      <c r="N332" s="195"/>
      <c r="O332" s="205"/>
      <c r="P332" s="195"/>
      <c r="Q332" s="227"/>
      <c r="R332" s="226"/>
      <c r="S332" s="227"/>
      <c r="T332" s="203"/>
      <c r="U332" s="183"/>
    </row>
    <row r="333" spans="3:21" s="172" customFormat="1" ht="20.25" customHeight="1">
      <c r="C333" s="185"/>
      <c r="D333" s="190">
        <f t="shared" si="68"/>
        <v>333</v>
      </c>
      <c r="E333" s="194" t="s">
        <v>329</v>
      </c>
      <c r="F333" s="198"/>
      <c r="G333" s="193" t="s">
        <v>299</v>
      </c>
      <c r="H333" s="193"/>
      <c r="I333" s="211">
        <v>18</v>
      </c>
      <c r="J333" s="195" t="str">
        <f>J331</f>
        <v>1560 mm id</v>
      </c>
      <c r="K333" s="221">
        <v>1</v>
      </c>
      <c r="L333" s="195" t="s">
        <v>81</v>
      </c>
      <c r="M333" s="214">
        <f t="shared" ref="M333:M334" si="72">LEFT(J333,SEARCH(" ",J333,1)-1)*3.142*K333*0.001</f>
        <v>4.9015199999999997</v>
      </c>
      <c r="N333" s="195" t="s">
        <v>139</v>
      </c>
      <c r="O333" s="233">
        <f>VLOOKUP(I333,BM!$B$3:$Y$62,10,FALSE)</f>
        <v>1</v>
      </c>
      <c r="P333" s="195" t="s">
        <v>112</v>
      </c>
      <c r="Q333" s="227">
        <f t="shared" si="60"/>
        <v>4.9015199999999997</v>
      </c>
      <c r="R333" s="226">
        <v>1</v>
      </c>
      <c r="S333" s="227">
        <f t="shared" si="63"/>
        <v>5.9</v>
      </c>
      <c r="T333" s="203" t="s">
        <v>48</v>
      </c>
      <c r="U333" s="183" t="str">
        <f t="shared" si="61"/>
        <v>5.9 Hrs</v>
      </c>
    </row>
    <row r="334" spans="3:21" s="172" customFormat="1" ht="20.25" customHeight="1">
      <c r="C334" s="185"/>
      <c r="D334" s="190">
        <f t="shared" si="68"/>
        <v>334</v>
      </c>
      <c r="E334" s="194" t="s">
        <v>330</v>
      </c>
      <c r="F334" s="198">
        <f t="shared" si="62"/>
        <v>333</v>
      </c>
      <c r="G334" s="193" t="s">
        <v>44</v>
      </c>
      <c r="H334" s="193"/>
      <c r="I334" s="211">
        <v>18</v>
      </c>
      <c r="J334" s="195" t="str">
        <f>J331</f>
        <v>1560 mm id</v>
      </c>
      <c r="K334" s="221">
        <v>1</v>
      </c>
      <c r="L334" s="195" t="s">
        <v>81</v>
      </c>
      <c r="M334" s="214">
        <f t="shared" si="72"/>
        <v>4.9015199999999997</v>
      </c>
      <c r="N334" s="195" t="s">
        <v>139</v>
      </c>
      <c r="O334" s="205">
        <v>1</v>
      </c>
      <c r="P334" s="195" t="s">
        <v>112</v>
      </c>
      <c r="Q334" s="227">
        <f t="shared" si="60"/>
        <v>4.9015199999999997</v>
      </c>
      <c r="R334" s="226">
        <v>1</v>
      </c>
      <c r="S334" s="227">
        <f t="shared" si="63"/>
        <v>5.9</v>
      </c>
      <c r="T334" s="203" t="s">
        <v>48</v>
      </c>
      <c r="U334" s="183" t="str">
        <f t="shared" si="61"/>
        <v>5.9 Hrs</v>
      </c>
    </row>
    <row r="335" spans="3:21" s="172" customFormat="1" ht="20.25" customHeight="1">
      <c r="C335" s="185">
        <f>D335</f>
        <v>335</v>
      </c>
      <c r="D335" s="190">
        <f t="shared" si="68"/>
        <v>335</v>
      </c>
      <c r="E335" s="196" t="s">
        <v>331</v>
      </c>
      <c r="F335" s="197">
        <f>D332</f>
        <v>332</v>
      </c>
      <c r="G335" s="193"/>
      <c r="H335" s="193"/>
      <c r="I335" s="195"/>
      <c r="J335" s="195"/>
      <c r="K335" s="221"/>
      <c r="L335" s="195"/>
      <c r="M335" s="204"/>
      <c r="N335" s="195"/>
      <c r="O335" s="205"/>
      <c r="P335" s="195"/>
      <c r="Q335" s="227">
        <f t="shared" si="60"/>
        <v>0</v>
      </c>
      <c r="R335" s="226"/>
      <c r="S335" s="227"/>
      <c r="T335" s="203"/>
      <c r="U335" s="183"/>
    </row>
    <row r="336" spans="3:21" s="172" customFormat="1" ht="20.25" customHeight="1">
      <c r="C336" s="185"/>
      <c r="D336" s="190">
        <f t="shared" si="68"/>
        <v>336</v>
      </c>
      <c r="E336" s="194" t="s">
        <v>332</v>
      </c>
      <c r="F336" s="198"/>
      <c r="G336" s="193" t="s">
        <v>44</v>
      </c>
      <c r="H336" s="193"/>
      <c r="I336" s="211">
        <v>18</v>
      </c>
      <c r="J336" s="195" t="str">
        <f>J331</f>
        <v>1560 mm id</v>
      </c>
      <c r="K336" s="221">
        <v>1</v>
      </c>
      <c r="L336" s="195" t="s">
        <v>81</v>
      </c>
      <c r="M336" s="204">
        <v>1</v>
      </c>
      <c r="N336" s="195" t="s">
        <v>139</v>
      </c>
      <c r="O336" s="205">
        <v>1</v>
      </c>
      <c r="P336" s="195" t="s">
        <v>112</v>
      </c>
      <c r="Q336" s="227">
        <f t="shared" si="60"/>
        <v>1</v>
      </c>
      <c r="R336" s="226">
        <v>1</v>
      </c>
      <c r="S336" s="227">
        <f t="shared" si="63"/>
        <v>2</v>
      </c>
      <c r="T336" s="203" t="s">
        <v>48</v>
      </c>
      <c r="U336" s="183" t="str">
        <f t="shared" si="61"/>
        <v>2 Hrs</v>
      </c>
    </row>
    <row r="337" spans="3:21" s="172" customFormat="1" ht="20.25" customHeight="1">
      <c r="C337" s="185"/>
      <c r="D337" s="190">
        <f t="shared" si="68"/>
        <v>337</v>
      </c>
      <c r="E337" s="194" t="s">
        <v>333</v>
      </c>
      <c r="F337" s="198">
        <f t="shared" si="62"/>
        <v>336</v>
      </c>
      <c r="G337" s="193" t="s">
        <v>115</v>
      </c>
      <c r="H337" s="193"/>
      <c r="I337" s="220">
        <f>12</f>
        <v>12</v>
      </c>
      <c r="J337" s="195" t="str">
        <f>J334</f>
        <v>1560 mm id</v>
      </c>
      <c r="K337" s="221">
        <v>1</v>
      </c>
      <c r="L337" s="195" t="s">
        <v>81</v>
      </c>
      <c r="M337" s="214">
        <f t="shared" ref="M337:M340" si="73">LEFT(J337,SEARCH(" ",J337,1)-1)*3.142*K337*0.001</f>
        <v>4.9015199999999997</v>
      </c>
      <c r="N337" s="195" t="s">
        <v>139</v>
      </c>
      <c r="O337" s="233">
        <f>VLOOKUP(I337,BM!$B$3:$Y$62,17,FALSE)</f>
        <v>2.5</v>
      </c>
      <c r="P337" s="195" t="s">
        <v>112</v>
      </c>
      <c r="Q337" s="227">
        <f t="shared" si="60"/>
        <v>12.253799999999998</v>
      </c>
      <c r="R337" s="226">
        <v>1</v>
      </c>
      <c r="S337" s="227">
        <f t="shared" si="63"/>
        <v>13.25</v>
      </c>
      <c r="T337" s="203" t="s">
        <v>48</v>
      </c>
      <c r="U337" s="183" t="str">
        <f t="shared" si="61"/>
        <v>13.25 Hrs</v>
      </c>
    </row>
    <row r="338" spans="3:21" s="172" customFormat="1" ht="20.25" customHeight="1">
      <c r="C338" s="185"/>
      <c r="D338" s="190">
        <f t="shared" si="68"/>
        <v>338</v>
      </c>
      <c r="E338" s="194" t="s">
        <v>334</v>
      </c>
      <c r="F338" s="198">
        <f t="shared" si="62"/>
        <v>337</v>
      </c>
      <c r="G338" s="193" t="s">
        <v>61</v>
      </c>
      <c r="H338" s="193"/>
      <c r="I338" s="220">
        <f>18</f>
        <v>18</v>
      </c>
      <c r="J338" s="195" t="str">
        <f>J337</f>
        <v>1560 mm id</v>
      </c>
      <c r="K338" s="221">
        <v>1</v>
      </c>
      <c r="L338" s="195" t="s">
        <v>81</v>
      </c>
      <c r="M338" s="214">
        <f t="shared" si="73"/>
        <v>4.9015199999999997</v>
      </c>
      <c r="N338" s="195" t="s">
        <v>139</v>
      </c>
      <c r="O338" s="233">
        <f>VLOOKUP(I338,BM!$B$3:$Y$62,18,FALSE)</f>
        <v>1</v>
      </c>
      <c r="P338" s="195" t="s">
        <v>112</v>
      </c>
      <c r="Q338" s="227">
        <f t="shared" si="60"/>
        <v>4.9015199999999997</v>
      </c>
      <c r="R338" s="226">
        <v>1</v>
      </c>
      <c r="S338" s="227">
        <f t="shared" si="63"/>
        <v>5.9</v>
      </c>
      <c r="T338" s="203" t="s">
        <v>48</v>
      </c>
      <c r="U338" s="183" t="str">
        <f t="shared" si="61"/>
        <v>5.9 Hrs</v>
      </c>
    </row>
    <row r="339" spans="3:21" s="172" customFormat="1" ht="20.25" customHeight="1">
      <c r="C339" s="185"/>
      <c r="D339" s="190">
        <f t="shared" si="68"/>
        <v>339</v>
      </c>
      <c r="E339" s="194" t="s">
        <v>335</v>
      </c>
      <c r="F339" s="198">
        <f t="shared" si="62"/>
        <v>338</v>
      </c>
      <c r="G339" s="193" t="s">
        <v>115</v>
      </c>
      <c r="H339" s="193"/>
      <c r="I339" s="211">
        <v>6</v>
      </c>
      <c r="J339" s="195" t="str">
        <f>J338</f>
        <v>1560 mm id</v>
      </c>
      <c r="K339" s="221">
        <v>1</v>
      </c>
      <c r="L339" s="195" t="s">
        <v>81</v>
      </c>
      <c r="M339" s="214">
        <f t="shared" si="73"/>
        <v>4.9015199999999997</v>
      </c>
      <c r="N339" s="195" t="s">
        <v>139</v>
      </c>
      <c r="O339" s="233">
        <f>VLOOKUP(I339,BM!$B$3:$Y$62,17,FALSE)</f>
        <v>0.9</v>
      </c>
      <c r="P339" s="195" t="s">
        <v>112</v>
      </c>
      <c r="Q339" s="227">
        <f t="shared" si="60"/>
        <v>4.4113679999999995</v>
      </c>
      <c r="R339" s="226">
        <v>1</v>
      </c>
      <c r="S339" s="227">
        <f t="shared" si="63"/>
        <v>5.41</v>
      </c>
      <c r="T339" s="203" t="s">
        <v>48</v>
      </c>
      <c r="U339" s="183" t="str">
        <f t="shared" si="61"/>
        <v>5.41 Hrs</v>
      </c>
    </row>
    <row r="340" spans="3:21" s="172" customFormat="1" ht="20.25" customHeight="1">
      <c r="C340" s="185"/>
      <c r="D340" s="190">
        <f t="shared" si="68"/>
        <v>340</v>
      </c>
      <c r="E340" s="194" t="s">
        <v>336</v>
      </c>
      <c r="F340" s="198">
        <f t="shared" si="62"/>
        <v>339</v>
      </c>
      <c r="G340" s="193" t="s">
        <v>61</v>
      </c>
      <c r="H340" s="193"/>
      <c r="I340" s="211">
        <v>18</v>
      </c>
      <c r="J340" s="195" t="str">
        <f>J339</f>
        <v>1560 mm id</v>
      </c>
      <c r="K340" s="221">
        <v>1</v>
      </c>
      <c r="L340" s="195" t="s">
        <v>81</v>
      </c>
      <c r="M340" s="214">
        <f t="shared" si="73"/>
        <v>4.9015199999999997</v>
      </c>
      <c r="N340" s="195" t="s">
        <v>139</v>
      </c>
      <c r="O340" s="233">
        <f>VLOOKUP(I340,BM!$B$3:$Y$62,20,FALSE)</f>
        <v>0.5</v>
      </c>
      <c r="P340" s="195" t="s">
        <v>112</v>
      </c>
      <c r="Q340" s="227">
        <f t="shared" si="60"/>
        <v>2.4507599999999998</v>
      </c>
      <c r="R340" s="226">
        <v>1</v>
      </c>
      <c r="S340" s="227">
        <f t="shared" si="63"/>
        <v>3.45</v>
      </c>
      <c r="T340" s="203" t="s">
        <v>48</v>
      </c>
      <c r="U340" s="183" t="str">
        <f t="shared" si="61"/>
        <v>3.45 Hrs</v>
      </c>
    </row>
    <row r="341" spans="3:21" s="172" customFormat="1" ht="20.25" customHeight="1">
      <c r="C341" s="185">
        <f>D341</f>
        <v>341</v>
      </c>
      <c r="D341" s="190">
        <f t="shared" si="68"/>
        <v>341</v>
      </c>
      <c r="E341" s="196" t="s">
        <v>337</v>
      </c>
      <c r="F341" s="197">
        <f>D335</f>
        <v>335</v>
      </c>
      <c r="G341" s="193"/>
      <c r="H341" s="193"/>
      <c r="I341" s="195"/>
      <c r="J341" s="195"/>
      <c r="K341" s="221"/>
      <c r="L341" s="195"/>
      <c r="M341" s="204"/>
      <c r="N341" s="195"/>
      <c r="O341" s="205"/>
      <c r="P341" s="195"/>
      <c r="Q341" s="227"/>
      <c r="R341" s="226"/>
      <c r="S341" s="227"/>
      <c r="T341" s="203"/>
      <c r="U341" s="183"/>
    </row>
    <row r="342" spans="3:21" s="172" customFormat="1" ht="20.25" customHeight="1">
      <c r="C342" s="185"/>
      <c r="D342" s="190">
        <f t="shared" si="68"/>
        <v>342</v>
      </c>
      <c r="E342" s="194" t="s">
        <v>338</v>
      </c>
      <c r="F342" s="198"/>
      <c r="G342" s="193" t="s">
        <v>299</v>
      </c>
      <c r="H342" s="193"/>
      <c r="I342" s="211">
        <v>18</v>
      </c>
      <c r="J342" s="195" t="str">
        <f>J340</f>
        <v>1560 mm id</v>
      </c>
      <c r="K342" s="221">
        <v>1</v>
      </c>
      <c r="L342" s="195" t="s">
        <v>81</v>
      </c>
      <c r="M342" s="214">
        <f t="shared" ref="M342:M343" si="74">LEFT(J342,SEARCH(" ",J342,1)-1)*3.142*K342*0.001</f>
        <v>4.9015199999999997</v>
      </c>
      <c r="N342" s="195" t="s">
        <v>139</v>
      </c>
      <c r="O342" s="233">
        <f>VLOOKUP(I342,BM!$B$3:$Y$62,10,FALSE)</f>
        <v>1</v>
      </c>
      <c r="P342" s="195" t="s">
        <v>112</v>
      </c>
      <c r="Q342" s="227">
        <f t="shared" si="60"/>
        <v>4.9015199999999997</v>
      </c>
      <c r="R342" s="226">
        <v>1</v>
      </c>
      <c r="S342" s="227">
        <f t="shared" si="63"/>
        <v>5.9</v>
      </c>
      <c r="T342" s="203" t="s">
        <v>48</v>
      </c>
      <c r="U342" s="183" t="str">
        <f t="shared" si="61"/>
        <v>5.9 Hrs</v>
      </c>
    </row>
    <row r="343" spans="3:21" s="172" customFormat="1" ht="20.25" customHeight="1">
      <c r="C343" s="185"/>
      <c r="D343" s="190">
        <f t="shared" si="68"/>
        <v>343</v>
      </c>
      <c r="E343" s="194" t="s">
        <v>339</v>
      </c>
      <c r="F343" s="198">
        <f t="shared" si="62"/>
        <v>342</v>
      </c>
      <c r="G343" s="193" t="s">
        <v>44</v>
      </c>
      <c r="H343" s="193"/>
      <c r="I343" s="211">
        <v>18</v>
      </c>
      <c r="J343" s="195" t="str">
        <f>J340</f>
        <v>1560 mm id</v>
      </c>
      <c r="K343" s="221">
        <v>1</v>
      </c>
      <c r="L343" s="195" t="s">
        <v>81</v>
      </c>
      <c r="M343" s="214">
        <f t="shared" si="74"/>
        <v>4.9015199999999997</v>
      </c>
      <c r="N343" s="195" t="s">
        <v>139</v>
      </c>
      <c r="O343" s="205">
        <v>1</v>
      </c>
      <c r="P343" s="195" t="s">
        <v>112</v>
      </c>
      <c r="Q343" s="227">
        <f t="shared" si="60"/>
        <v>4.9015199999999997</v>
      </c>
      <c r="R343" s="226">
        <v>1</v>
      </c>
      <c r="S343" s="227">
        <f t="shared" si="63"/>
        <v>5.9</v>
      </c>
      <c r="T343" s="203" t="s">
        <v>48</v>
      </c>
      <c r="U343" s="183" t="str">
        <f t="shared" si="61"/>
        <v>5.9 Hrs</v>
      </c>
    </row>
    <row r="344" spans="3:21" s="172" customFormat="1" ht="20.25" customHeight="1">
      <c r="C344" s="185">
        <f>D344</f>
        <v>344</v>
      </c>
      <c r="D344" s="190">
        <f t="shared" si="68"/>
        <v>344</v>
      </c>
      <c r="E344" s="196" t="s">
        <v>340</v>
      </c>
      <c r="F344" s="197">
        <f>D341</f>
        <v>341</v>
      </c>
      <c r="G344" s="193"/>
      <c r="H344" s="193"/>
      <c r="I344" s="195"/>
      <c r="J344" s="195"/>
      <c r="K344" s="221"/>
      <c r="L344" s="195"/>
      <c r="M344" s="204"/>
      <c r="N344" s="195"/>
      <c r="O344" s="205"/>
      <c r="P344" s="195"/>
      <c r="Q344" s="227"/>
      <c r="R344" s="226"/>
      <c r="S344" s="227"/>
      <c r="T344" s="203"/>
      <c r="U344" s="183"/>
    </row>
    <row r="345" spans="3:21" s="172" customFormat="1" ht="20.25" customHeight="1">
      <c r="C345" s="185"/>
      <c r="D345" s="190">
        <f t="shared" si="68"/>
        <v>345</v>
      </c>
      <c r="E345" s="194" t="s">
        <v>341</v>
      </c>
      <c r="F345" s="198"/>
      <c r="G345" s="193" t="s">
        <v>44</v>
      </c>
      <c r="H345" s="193"/>
      <c r="I345" s="211">
        <v>18</v>
      </c>
      <c r="J345" s="195" t="str">
        <f>J343</f>
        <v>1560 mm id</v>
      </c>
      <c r="K345" s="221">
        <v>1</v>
      </c>
      <c r="L345" s="195" t="s">
        <v>81</v>
      </c>
      <c r="M345" s="204">
        <v>1</v>
      </c>
      <c r="N345" s="195" t="s">
        <v>139</v>
      </c>
      <c r="O345" s="205">
        <v>1</v>
      </c>
      <c r="P345" s="195" t="s">
        <v>112</v>
      </c>
      <c r="Q345" s="227">
        <f t="shared" si="60"/>
        <v>1</v>
      </c>
      <c r="R345" s="226">
        <v>1</v>
      </c>
      <c r="S345" s="227">
        <f t="shared" si="63"/>
        <v>2</v>
      </c>
      <c r="T345" s="203" t="s">
        <v>48</v>
      </c>
      <c r="U345" s="183" t="str">
        <f t="shared" si="61"/>
        <v>2 Hrs</v>
      </c>
    </row>
    <row r="346" spans="3:21" s="172" customFormat="1" ht="20.25" customHeight="1">
      <c r="C346" s="185"/>
      <c r="D346" s="190">
        <f t="shared" si="68"/>
        <v>346</v>
      </c>
      <c r="E346" s="194" t="s">
        <v>342</v>
      </c>
      <c r="F346" s="198">
        <f t="shared" si="62"/>
        <v>345</v>
      </c>
      <c r="G346" s="193" t="s">
        <v>115</v>
      </c>
      <c r="H346" s="193"/>
      <c r="I346" s="220">
        <f>12</f>
        <v>12</v>
      </c>
      <c r="J346" s="195" t="str">
        <f>J345</f>
        <v>1560 mm id</v>
      </c>
      <c r="K346" s="221">
        <v>1</v>
      </c>
      <c r="L346" s="195" t="s">
        <v>81</v>
      </c>
      <c r="M346" s="214">
        <f t="shared" ref="M346:M349" si="75">LEFT(J346,SEARCH(" ",J346,1)-1)*3.142*K346*0.001</f>
        <v>4.9015199999999997</v>
      </c>
      <c r="N346" s="195" t="s">
        <v>139</v>
      </c>
      <c r="O346" s="233">
        <f>VLOOKUP(I346,BM!$B$3:$Y$62,17,FALSE)</f>
        <v>2.5</v>
      </c>
      <c r="P346" s="195" t="s">
        <v>112</v>
      </c>
      <c r="Q346" s="227">
        <f t="shared" si="60"/>
        <v>12.253799999999998</v>
      </c>
      <c r="R346" s="226">
        <v>1</v>
      </c>
      <c r="S346" s="227">
        <f t="shared" si="63"/>
        <v>13.25</v>
      </c>
      <c r="T346" s="203" t="s">
        <v>48</v>
      </c>
      <c r="U346" s="183" t="str">
        <f t="shared" si="61"/>
        <v>13.25 Hrs</v>
      </c>
    </row>
    <row r="347" spans="3:21" s="172" customFormat="1" ht="20.25" customHeight="1">
      <c r="C347" s="185"/>
      <c r="D347" s="190">
        <f t="shared" si="68"/>
        <v>347</v>
      </c>
      <c r="E347" s="194" t="s">
        <v>343</v>
      </c>
      <c r="F347" s="198">
        <f t="shared" si="62"/>
        <v>346</v>
      </c>
      <c r="G347" s="193" t="s">
        <v>61</v>
      </c>
      <c r="H347" s="193"/>
      <c r="I347" s="220">
        <f>18</f>
        <v>18</v>
      </c>
      <c r="J347" s="195" t="str">
        <f>J346</f>
        <v>1560 mm id</v>
      </c>
      <c r="K347" s="221">
        <v>1</v>
      </c>
      <c r="L347" s="195" t="s">
        <v>81</v>
      </c>
      <c r="M347" s="214">
        <f t="shared" si="75"/>
        <v>4.9015199999999997</v>
      </c>
      <c r="N347" s="195" t="s">
        <v>139</v>
      </c>
      <c r="O347" s="233">
        <f>VLOOKUP(I347,BM!$B$3:$Y$62,18,FALSE)</f>
        <v>1</v>
      </c>
      <c r="P347" s="195" t="s">
        <v>112</v>
      </c>
      <c r="Q347" s="227">
        <f t="shared" si="60"/>
        <v>4.9015199999999997</v>
      </c>
      <c r="R347" s="226">
        <v>1</v>
      </c>
      <c r="S347" s="227">
        <f t="shared" si="63"/>
        <v>5.9</v>
      </c>
      <c r="T347" s="203" t="s">
        <v>48</v>
      </c>
      <c r="U347" s="183" t="str">
        <f t="shared" si="61"/>
        <v>5.9 Hrs</v>
      </c>
    </row>
    <row r="348" spans="3:21" s="172" customFormat="1" ht="20.25" customHeight="1">
      <c r="C348" s="185"/>
      <c r="D348" s="190">
        <f t="shared" si="68"/>
        <v>348</v>
      </c>
      <c r="E348" s="194" t="s">
        <v>344</v>
      </c>
      <c r="F348" s="198">
        <f t="shared" si="62"/>
        <v>347</v>
      </c>
      <c r="G348" s="193" t="s">
        <v>115</v>
      </c>
      <c r="H348" s="193"/>
      <c r="I348" s="211">
        <v>6</v>
      </c>
      <c r="J348" s="195" t="str">
        <f>J347</f>
        <v>1560 mm id</v>
      </c>
      <c r="K348" s="221">
        <v>1</v>
      </c>
      <c r="L348" s="195" t="s">
        <v>81</v>
      </c>
      <c r="M348" s="214">
        <f t="shared" si="75"/>
        <v>4.9015199999999997</v>
      </c>
      <c r="N348" s="195" t="s">
        <v>139</v>
      </c>
      <c r="O348" s="233">
        <f>VLOOKUP(I348,BM!$B$3:$Y$62,17,FALSE)</f>
        <v>0.9</v>
      </c>
      <c r="P348" s="195" t="s">
        <v>112</v>
      </c>
      <c r="Q348" s="227">
        <f t="shared" ref="Q348:Q411" si="76">M348*O348</f>
        <v>4.4113679999999995</v>
      </c>
      <c r="R348" s="226">
        <v>1</v>
      </c>
      <c r="S348" s="227">
        <f t="shared" si="63"/>
        <v>5.41</v>
      </c>
      <c r="T348" s="203" t="s">
        <v>48</v>
      </c>
      <c r="U348" s="183" t="str">
        <f t="shared" ref="U348:U411" si="77">CONCATENATE(S348," ",T348)</f>
        <v>5.41 Hrs</v>
      </c>
    </row>
    <row r="349" spans="3:21" s="172" customFormat="1" ht="20.25" customHeight="1">
      <c r="C349" s="185"/>
      <c r="D349" s="190">
        <f t="shared" si="68"/>
        <v>349</v>
      </c>
      <c r="E349" s="194" t="s">
        <v>345</v>
      </c>
      <c r="F349" s="198">
        <f t="shared" ref="F349:F411" si="78">D348</f>
        <v>348</v>
      </c>
      <c r="G349" s="193" t="s">
        <v>61</v>
      </c>
      <c r="H349" s="193"/>
      <c r="I349" s="211">
        <v>18</v>
      </c>
      <c r="J349" s="195" t="str">
        <f>J348</f>
        <v>1560 mm id</v>
      </c>
      <c r="K349" s="221">
        <v>1</v>
      </c>
      <c r="L349" s="195" t="s">
        <v>81</v>
      </c>
      <c r="M349" s="214">
        <f t="shared" si="75"/>
        <v>4.9015199999999997</v>
      </c>
      <c r="N349" s="195" t="s">
        <v>139</v>
      </c>
      <c r="O349" s="233">
        <f>VLOOKUP(I349,BM!$B$3:$Y$62,20,FALSE)</f>
        <v>0.5</v>
      </c>
      <c r="P349" s="195" t="s">
        <v>112</v>
      </c>
      <c r="Q349" s="227">
        <f t="shared" si="76"/>
        <v>2.4507599999999998</v>
      </c>
      <c r="R349" s="226">
        <v>1</v>
      </c>
      <c r="S349" s="227">
        <f t="shared" ref="S349:S411" si="79">ROUND(Q349+R349,2)</f>
        <v>3.45</v>
      </c>
      <c r="T349" s="203" t="s">
        <v>48</v>
      </c>
      <c r="U349" s="183" t="str">
        <f t="shared" si="77"/>
        <v>3.45 Hrs</v>
      </c>
    </row>
    <row r="350" spans="3:21" s="172" customFormat="1" ht="20.25" customHeight="1">
      <c r="C350" s="185">
        <f>D350</f>
        <v>350</v>
      </c>
      <c r="D350" s="190">
        <f t="shared" si="68"/>
        <v>350</v>
      </c>
      <c r="E350" s="196" t="s">
        <v>346</v>
      </c>
      <c r="F350" s="197">
        <f>D344</f>
        <v>344</v>
      </c>
      <c r="G350" s="193"/>
      <c r="H350" s="193"/>
      <c r="I350" s="195"/>
      <c r="J350" s="195"/>
      <c r="K350" s="221"/>
      <c r="L350" s="195"/>
      <c r="M350" s="204"/>
      <c r="N350" s="195"/>
      <c r="O350" s="205"/>
      <c r="P350" s="195"/>
      <c r="Q350" s="227"/>
      <c r="R350" s="226"/>
      <c r="S350" s="227"/>
      <c r="T350" s="203"/>
      <c r="U350" s="183"/>
    </row>
    <row r="351" spans="3:21" s="172" customFormat="1" ht="20.25" customHeight="1">
      <c r="C351" s="185"/>
      <c r="D351" s="190">
        <f t="shared" si="68"/>
        <v>351</v>
      </c>
      <c r="E351" s="194" t="s">
        <v>347</v>
      </c>
      <c r="F351" s="198"/>
      <c r="G351" s="193" t="s">
        <v>348</v>
      </c>
      <c r="H351" s="193"/>
      <c r="I351" s="211">
        <v>18</v>
      </c>
      <c r="J351" s="195" t="str">
        <f>J349</f>
        <v>1560 mm id</v>
      </c>
      <c r="K351" s="221">
        <v>1</v>
      </c>
      <c r="L351" s="195" t="s">
        <v>39</v>
      </c>
      <c r="M351" s="204">
        <v>1</v>
      </c>
      <c r="N351" s="195" t="s">
        <v>39</v>
      </c>
      <c r="O351" s="205">
        <v>4</v>
      </c>
      <c r="P351" s="195" t="s">
        <v>112</v>
      </c>
      <c r="Q351" s="227">
        <f t="shared" si="76"/>
        <v>4</v>
      </c>
      <c r="R351" s="226">
        <v>1</v>
      </c>
      <c r="S351" s="227">
        <f t="shared" si="79"/>
        <v>5</v>
      </c>
      <c r="T351" s="203" t="s">
        <v>48</v>
      </c>
      <c r="U351" s="183" t="str">
        <f t="shared" si="77"/>
        <v>5 Hrs</v>
      </c>
    </row>
    <row r="352" spans="3:21" s="172" customFormat="1" ht="20.25" customHeight="1">
      <c r="C352" s="185"/>
      <c r="D352" s="190">
        <f t="shared" si="68"/>
        <v>352</v>
      </c>
      <c r="E352" s="194" t="s">
        <v>349</v>
      </c>
      <c r="F352" s="198">
        <f t="shared" si="78"/>
        <v>351</v>
      </c>
      <c r="G352" s="193" t="s">
        <v>52</v>
      </c>
      <c r="H352" s="193"/>
      <c r="I352" s="211">
        <v>18</v>
      </c>
      <c r="J352" s="195" t="str">
        <f>J351</f>
        <v>1560 mm id</v>
      </c>
      <c r="K352" s="221">
        <v>1</v>
      </c>
      <c r="L352" s="195" t="s">
        <v>39</v>
      </c>
      <c r="M352" s="214">
        <f t="shared" ref="M352:M356" si="80">LEFT(J352,SEARCH(" ",J352,1)-1)*3.142*K352*0.001</f>
        <v>4.9015199999999997</v>
      </c>
      <c r="N352" s="195" t="s">
        <v>139</v>
      </c>
      <c r="O352" s="233">
        <f>VLOOKUP(I352,BM!$B$3:$Y$62,5,FALSE)</f>
        <v>0.5</v>
      </c>
      <c r="P352" s="195" t="s">
        <v>112</v>
      </c>
      <c r="Q352" s="227">
        <f t="shared" si="76"/>
        <v>2.4507599999999998</v>
      </c>
      <c r="R352" s="226">
        <v>1</v>
      </c>
      <c r="S352" s="227">
        <f t="shared" si="79"/>
        <v>3.45</v>
      </c>
      <c r="T352" s="203" t="s">
        <v>48</v>
      </c>
      <c r="U352" s="183" t="str">
        <f t="shared" si="77"/>
        <v>3.45 Hrs</v>
      </c>
    </row>
    <row r="353" spans="3:21" s="172" customFormat="1" ht="20.25" customHeight="1">
      <c r="C353" s="185"/>
      <c r="D353" s="190">
        <f t="shared" si="68"/>
        <v>353</v>
      </c>
      <c r="E353" s="194" t="s">
        <v>350</v>
      </c>
      <c r="F353" s="198">
        <f t="shared" si="78"/>
        <v>352</v>
      </c>
      <c r="G353" s="193" t="s">
        <v>121</v>
      </c>
      <c r="H353" s="193"/>
      <c r="I353" s="211">
        <v>18</v>
      </c>
      <c r="J353" s="195" t="str">
        <f>J352</f>
        <v>1560 mm id</v>
      </c>
      <c r="K353" s="221">
        <v>1</v>
      </c>
      <c r="L353" s="195" t="s">
        <v>39</v>
      </c>
      <c r="M353" s="214">
        <f t="shared" si="80"/>
        <v>4.9015199999999997</v>
      </c>
      <c r="N353" s="195" t="s">
        <v>139</v>
      </c>
      <c r="O353" s="233">
        <f>VLOOKUP(I353,BM!$B$3:$Y$62,5,FALSE)</f>
        <v>0.5</v>
      </c>
      <c r="P353" s="195" t="s">
        <v>112</v>
      </c>
      <c r="Q353" s="227">
        <f t="shared" si="76"/>
        <v>2.4507599999999998</v>
      </c>
      <c r="R353" s="226">
        <v>1</v>
      </c>
      <c r="S353" s="227">
        <f t="shared" si="79"/>
        <v>3.45</v>
      </c>
      <c r="T353" s="203" t="s">
        <v>48</v>
      </c>
      <c r="U353" s="183" t="str">
        <f t="shared" si="77"/>
        <v>3.45 Hrs</v>
      </c>
    </row>
    <row r="354" spans="3:21" s="172" customFormat="1" ht="20.25" customHeight="1">
      <c r="C354" s="185">
        <f>D354</f>
        <v>354</v>
      </c>
      <c r="D354" s="190">
        <f t="shared" si="68"/>
        <v>354</v>
      </c>
      <c r="E354" s="196" t="s">
        <v>351</v>
      </c>
      <c r="F354" s="197">
        <f>D350</f>
        <v>350</v>
      </c>
      <c r="G354" s="193"/>
      <c r="H354" s="193"/>
      <c r="I354" s="195"/>
      <c r="J354" s="195"/>
      <c r="K354" s="221"/>
      <c r="L354" s="195"/>
      <c r="M354" s="204"/>
      <c r="N354" s="195"/>
      <c r="O354" s="205"/>
      <c r="P354" s="195"/>
      <c r="Q354" s="227"/>
      <c r="R354" s="226"/>
      <c r="S354" s="227"/>
      <c r="T354" s="203"/>
      <c r="U354" s="183"/>
    </row>
    <row r="355" spans="3:21" s="172" customFormat="1" ht="20.25" customHeight="1">
      <c r="C355" s="185"/>
      <c r="D355" s="190">
        <f t="shared" si="68"/>
        <v>355</v>
      </c>
      <c r="E355" s="194" t="s">
        <v>352</v>
      </c>
      <c r="F355" s="198"/>
      <c r="G355" s="193" t="s">
        <v>299</v>
      </c>
      <c r="H355" s="193"/>
      <c r="I355" s="211">
        <v>18</v>
      </c>
      <c r="J355" s="195" t="str">
        <f>J353</f>
        <v>1560 mm id</v>
      </c>
      <c r="K355" s="221">
        <v>1</v>
      </c>
      <c r="L355" s="195" t="s">
        <v>81</v>
      </c>
      <c r="M355" s="214">
        <f t="shared" si="80"/>
        <v>4.9015199999999997</v>
      </c>
      <c r="N355" s="195" t="s">
        <v>139</v>
      </c>
      <c r="O355" s="233">
        <f>VLOOKUP(I355,BM!$B$3:$Y$62,10,FALSE)</f>
        <v>1</v>
      </c>
      <c r="P355" s="195" t="s">
        <v>112</v>
      </c>
      <c r="Q355" s="227">
        <f t="shared" si="76"/>
        <v>4.9015199999999997</v>
      </c>
      <c r="R355" s="226">
        <v>1</v>
      </c>
      <c r="S355" s="227">
        <f t="shared" si="79"/>
        <v>5.9</v>
      </c>
      <c r="T355" s="203" t="s">
        <v>48</v>
      </c>
      <c r="U355" s="183" t="str">
        <f t="shared" si="77"/>
        <v>5.9 Hrs</v>
      </c>
    </row>
    <row r="356" spans="3:21" s="172" customFormat="1" ht="20.25" customHeight="1">
      <c r="C356" s="185"/>
      <c r="D356" s="190">
        <f t="shared" si="68"/>
        <v>356</v>
      </c>
      <c r="E356" s="194" t="s">
        <v>353</v>
      </c>
      <c r="F356" s="198">
        <f t="shared" si="78"/>
        <v>355</v>
      </c>
      <c r="G356" s="193" t="s">
        <v>44</v>
      </c>
      <c r="H356" s="193"/>
      <c r="I356" s="211">
        <v>18</v>
      </c>
      <c r="J356" s="195" t="str">
        <f>J353</f>
        <v>1560 mm id</v>
      </c>
      <c r="K356" s="221">
        <v>1</v>
      </c>
      <c r="L356" s="195" t="s">
        <v>81</v>
      </c>
      <c r="M356" s="214">
        <f t="shared" si="80"/>
        <v>4.9015199999999997</v>
      </c>
      <c r="N356" s="195" t="s">
        <v>139</v>
      </c>
      <c r="O356" s="205">
        <v>1</v>
      </c>
      <c r="P356" s="195" t="s">
        <v>112</v>
      </c>
      <c r="Q356" s="227">
        <f t="shared" si="76"/>
        <v>4.9015199999999997</v>
      </c>
      <c r="R356" s="226">
        <v>1</v>
      </c>
      <c r="S356" s="227">
        <f t="shared" si="79"/>
        <v>5.9</v>
      </c>
      <c r="T356" s="203" t="s">
        <v>48</v>
      </c>
      <c r="U356" s="183" t="str">
        <f t="shared" si="77"/>
        <v>5.9 Hrs</v>
      </c>
    </row>
    <row r="357" spans="3:21" s="172" customFormat="1" ht="20.25" customHeight="1">
      <c r="C357" s="185">
        <f>D357</f>
        <v>357</v>
      </c>
      <c r="D357" s="190">
        <f t="shared" si="68"/>
        <v>357</v>
      </c>
      <c r="E357" s="196" t="s">
        <v>354</v>
      </c>
      <c r="F357" s="197">
        <f>D354</f>
        <v>354</v>
      </c>
      <c r="G357" s="193"/>
      <c r="H357" s="193"/>
      <c r="I357" s="195"/>
      <c r="J357" s="195"/>
      <c r="K357" s="221"/>
      <c r="L357" s="195"/>
      <c r="M357" s="204"/>
      <c r="N357" s="195"/>
      <c r="O357" s="205"/>
      <c r="P357" s="195"/>
      <c r="Q357" s="227"/>
      <c r="R357" s="226"/>
      <c r="S357" s="227"/>
      <c r="T357" s="203"/>
      <c r="U357" s="183"/>
    </row>
    <row r="358" spans="3:21" s="172" customFormat="1" ht="20.25" customHeight="1">
      <c r="C358" s="185"/>
      <c r="D358" s="190">
        <f t="shared" si="68"/>
        <v>358</v>
      </c>
      <c r="E358" s="194" t="s">
        <v>323</v>
      </c>
      <c r="F358" s="198"/>
      <c r="G358" s="193" t="s">
        <v>44</v>
      </c>
      <c r="H358" s="193"/>
      <c r="I358" s="211">
        <v>12</v>
      </c>
      <c r="J358" s="195" t="str">
        <f>J356</f>
        <v>1560 mm id</v>
      </c>
      <c r="K358" s="221">
        <v>1</v>
      </c>
      <c r="L358" s="195" t="s">
        <v>81</v>
      </c>
      <c r="M358" s="204">
        <v>1</v>
      </c>
      <c r="N358" s="195" t="s">
        <v>139</v>
      </c>
      <c r="O358" s="205">
        <v>1</v>
      </c>
      <c r="P358" s="195" t="s">
        <v>112</v>
      </c>
      <c r="Q358" s="227">
        <f t="shared" si="76"/>
        <v>1</v>
      </c>
      <c r="R358" s="226">
        <v>1</v>
      </c>
      <c r="S358" s="227">
        <f t="shared" si="79"/>
        <v>2</v>
      </c>
      <c r="T358" s="203" t="s">
        <v>48</v>
      </c>
      <c r="U358" s="183" t="str">
        <f t="shared" si="77"/>
        <v>2 Hrs</v>
      </c>
    </row>
    <row r="359" spans="3:21" s="172" customFormat="1" ht="20.25" customHeight="1">
      <c r="C359" s="185"/>
      <c r="D359" s="190">
        <f t="shared" si="68"/>
        <v>359</v>
      </c>
      <c r="E359" s="194" t="s">
        <v>355</v>
      </c>
      <c r="F359" s="198">
        <f t="shared" si="78"/>
        <v>358</v>
      </c>
      <c r="G359" s="193" t="s">
        <v>115</v>
      </c>
      <c r="H359" s="193"/>
      <c r="I359" s="211">
        <v>12</v>
      </c>
      <c r="J359" s="195" t="str">
        <f>J358</f>
        <v>1560 mm id</v>
      </c>
      <c r="K359" s="221">
        <v>1</v>
      </c>
      <c r="L359" s="195" t="s">
        <v>81</v>
      </c>
      <c r="M359" s="214">
        <f t="shared" ref="M359:M365" si="81">LEFT(J359,SEARCH(" ",J359,1)-1)*3.142*K359*0.001</f>
        <v>4.9015199999999997</v>
      </c>
      <c r="N359" s="195" t="s">
        <v>139</v>
      </c>
      <c r="O359" s="233">
        <f>VLOOKUP(I359,BM!$B$3:$Y$62,17,FALSE)</f>
        <v>2.5</v>
      </c>
      <c r="P359" s="195" t="s">
        <v>112</v>
      </c>
      <c r="Q359" s="227">
        <f t="shared" si="76"/>
        <v>12.253799999999998</v>
      </c>
      <c r="R359" s="226">
        <v>1</v>
      </c>
      <c r="S359" s="227">
        <f t="shared" si="79"/>
        <v>13.25</v>
      </c>
      <c r="T359" s="203" t="s">
        <v>48</v>
      </c>
      <c r="U359" s="183" t="str">
        <f t="shared" si="77"/>
        <v>13.25 Hrs</v>
      </c>
    </row>
    <row r="360" spans="3:21" s="172" customFormat="1" ht="20.25" customHeight="1">
      <c r="C360" s="185"/>
      <c r="D360" s="190">
        <f t="shared" si="68"/>
        <v>360</v>
      </c>
      <c r="E360" s="194" t="s">
        <v>356</v>
      </c>
      <c r="F360" s="198">
        <f t="shared" si="78"/>
        <v>359</v>
      </c>
      <c r="G360" s="193" t="s">
        <v>61</v>
      </c>
      <c r="H360" s="193"/>
      <c r="I360" s="211">
        <v>18</v>
      </c>
      <c r="J360" s="195" t="str">
        <f>J359</f>
        <v>1560 mm id</v>
      </c>
      <c r="K360" s="221">
        <v>1</v>
      </c>
      <c r="L360" s="195" t="s">
        <v>81</v>
      </c>
      <c r="M360" s="214">
        <f t="shared" si="81"/>
        <v>4.9015199999999997</v>
      </c>
      <c r="N360" s="195" t="s">
        <v>139</v>
      </c>
      <c r="O360" s="233">
        <f>VLOOKUP(I360,BM!$B$3:$Y$62,18,FALSE)</f>
        <v>1</v>
      </c>
      <c r="P360" s="195" t="s">
        <v>112</v>
      </c>
      <c r="Q360" s="227">
        <f t="shared" si="76"/>
        <v>4.9015199999999997</v>
      </c>
      <c r="R360" s="226">
        <v>1</v>
      </c>
      <c r="S360" s="227">
        <f t="shared" si="79"/>
        <v>5.9</v>
      </c>
      <c r="T360" s="203" t="s">
        <v>48</v>
      </c>
      <c r="U360" s="183" t="str">
        <f t="shared" si="77"/>
        <v>5.9 Hrs</v>
      </c>
    </row>
    <row r="361" spans="3:21" s="172" customFormat="1" ht="20.25" customHeight="1">
      <c r="C361" s="185"/>
      <c r="D361" s="190">
        <f t="shared" si="68"/>
        <v>361</v>
      </c>
      <c r="E361" s="194" t="s">
        <v>357</v>
      </c>
      <c r="F361" s="198">
        <f t="shared" si="78"/>
        <v>360</v>
      </c>
      <c r="G361" s="193" t="s">
        <v>115</v>
      </c>
      <c r="H361" s="193"/>
      <c r="I361" s="211">
        <v>6</v>
      </c>
      <c r="J361" s="195" t="str">
        <f>J360</f>
        <v>1560 mm id</v>
      </c>
      <c r="K361" s="221">
        <v>1</v>
      </c>
      <c r="L361" s="195" t="s">
        <v>81</v>
      </c>
      <c r="M361" s="214">
        <f t="shared" si="81"/>
        <v>4.9015199999999997</v>
      </c>
      <c r="N361" s="195" t="s">
        <v>139</v>
      </c>
      <c r="O361" s="233">
        <f>VLOOKUP(I361,BM!$B$3:$Y$62,17,FALSE)</f>
        <v>0.9</v>
      </c>
      <c r="P361" s="195" t="s">
        <v>112</v>
      </c>
      <c r="Q361" s="227">
        <f t="shared" si="76"/>
        <v>4.4113679999999995</v>
      </c>
      <c r="R361" s="226">
        <v>1</v>
      </c>
      <c r="S361" s="227">
        <f t="shared" si="79"/>
        <v>5.41</v>
      </c>
      <c r="T361" s="203" t="s">
        <v>48</v>
      </c>
      <c r="U361" s="183" t="str">
        <f t="shared" si="77"/>
        <v>5.41 Hrs</v>
      </c>
    </row>
    <row r="362" spans="3:21" s="172" customFormat="1" ht="20.25" customHeight="1">
      <c r="C362" s="185"/>
      <c r="D362" s="190">
        <f t="shared" si="68"/>
        <v>362</v>
      </c>
      <c r="E362" s="194" t="s">
        <v>358</v>
      </c>
      <c r="F362" s="198">
        <f t="shared" si="78"/>
        <v>361</v>
      </c>
      <c r="G362" s="193" t="s">
        <v>61</v>
      </c>
      <c r="H362" s="193"/>
      <c r="I362" s="211">
        <v>18</v>
      </c>
      <c r="J362" s="195" t="str">
        <f>J361</f>
        <v>1560 mm id</v>
      </c>
      <c r="K362" s="221">
        <v>1</v>
      </c>
      <c r="L362" s="195" t="s">
        <v>81</v>
      </c>
      <c r="M362" s="214">
        <f t="shared" si="81"/>
        <v>4.9015199999999997</v>
      </c>
      <c r="N362" s="195" t="s">
        <v>139</v>
      </c>
      <c r="O362" s="233">
        <f>VLOOKUP(I362,BM!$B$3:$Y$62,20,FALSE)</f>
        <v>0.5</v>
      </c>
      <c r="P362" s="195" t="s">
        <v>112</v>
      </c>
      <c r="Q362" s="227">
        <f t="shared" si="76"/>
        <v>2.4507599999999998</v>
      </c>
      <c r="R362" s="226">
        <v>1</v>
      </c>
      <c r="S362" s="227">
        <f t="shared" si="79"/>
        <v>3.45</v>
      </c>
      <c r="T362" s="203" t="s">
        <v>48</v>
      </c>
      <c r="U362" s="183" t="str">
        <f t="shared" si="77"/>
        <v>3.45 Hrs</v>
      </c>
    </row>
    <row r="363" spans="3:21" s="172" customFormat="1" ht="20.25" customHeight="1">
      <c r="C363" s="185">
        <f>D363</f>
        <v>363</v>
      </c>
      <c r="D363" s="190">
        <f t="shared" si="68"/>
        <v>363</v>
      </c>
      <c r="E363" s="196" t="s">
        <v>359</v>
      </c>
      <c r="F363" s="197">
        <f>D357</f>
        <v>357</v>
      </c>
      <c r="G363" s="193"/>
      <c r="H363" s="193"/>
      <c r="I363" s="195"/>
      <c r="J363" s="195"/>
      <c r="K363" s="221"/>
      <c r="L363" s="195"/>
      <c r="M363" s="204"/>
      <c r="N363" s="195"/>
      <c r="O363" s="205"/>
      <c r="P363" s="195"/>
      <c r="Q363" s="227"/>
      <c r="R363" s="226"/>
      <c r="S363" s="227"/>
      <c r="T363" s="203"/>
      <c r="U363" s="183"/>
    </row>
    <row r="364" spans="3:21" s="172" customFormat="1" ht="20.25" customHeight="1">
      <c r="C364" s="185"/>
      <c r="D364" s="190">
        <f t="shared" si="68"/>
        <v>364</v>
      </c>
      <c r="E364" s="194" t="s">
        <v>360</v>
      </c>
      <c r="F364" s="198"/>
      <c r="G364" s="193" t="s">
        <v>299</v>
      </c>
      <c r="H364" s="193"/>
      <c r="I364" s="211">
        <v>18</v>
      </c>
      <c r="J364" s="195" t="str">
        <f>J362</f>
        <v>1560 mm id</v>
      </c>
      <c r="K364" s="221">
        <v>1</v>
      </c>
      <c r="L364" s="195" t="s">
        <v>81</v>
      </c>
      <c r="M364" s="214">
        <f t="shared" si="81"/>
        <v>4.9015199999999997</v>
      </c>
      <c r="N364" s="195" t="s">
        <v>139</v>
      </c>
      <c r="O364" s="233">
        <f>VLOOKUP(I364,BM!$B$3:$Y$62,10,FALSE)</f>
        <v>1</v>
      </c>
      <c r="P364" s="195" t="s">
        <v>112</v>
      </c>
      <c r="Q364" s="227">
        <f t="shared" si="76"/>
        <v>4.9015199999999997</v>
      </c>
      <c r="R364" s="226">
        <v>1</v>
      </c>
      <c r="S364" s="227">
        <f t="shared" si="79"/>
        <v>5.9</v>
      </c>
      <c r="T364" s="203" t="s">
        <v>48</v>
      </c>
      <c r="U364" s="183" t="str">
        <f t="shared" si="77"/>
        <v>5.9 Hrs</v>
      </c>
    </row>
    <row r="365" spans="3:21" s="172" customFormat="1" ht="20.25" customHeight="1">
      <c r="C365" s="185"/>
      <c r="D365" s="190">
        <f t="shared" si="68"/>
        <v>365</v>
      </c>
      <c r="E365" s="194" t="s">
        <v>361</v>
      </c>
      <c r="F365" s="198">
        <f t="shared" si="78"/>
        <v>364</v>
      </c>
      <c r="G365" s="193" t="s">
        <v>44</v>
      </c>
      <c r="H365" s="193"/>
      <c r="I365" s="211">
        <v>18</v>
      </c>
      <c r="J365" s="195" t="str">
        <f>J364</f>
        <v>1560 mm id</v>
      </c>
      <c r="K365" s="221">
        <v>1</v>
      </c>
      <c r="L365" s="195" t="s">
        <v>81</v>
      </c>
      <c r="M365" s="214">
        <f t="shared" si="81"/>
        <v>4.9015199999999997</v>
      </c>
      <c r="N365" s="195" t="s">
        <v>139</v>
      </c>
      <c r="O365" s="205">
        <v>1</v>
      </c>
      <c r="P365" s="195" t="s">
        <v>112</v>
      </c>
      <c r="Q365" s="227">
        <f t="shared" si="76"/>
        <v>4.9015199999999997</v>
      </c>
      <c r="R365" s="226">
        <v>1</v>
      </c>
      <c r="S365" s="227">
        <f t="shared" si="79"/>
        <v>5.9</v>
      </c>
      <c r="T365" s="203" t="s">
        <v>48</v>
      </c>
      <c r="U365" s="183" t="str">
        <f t="shared" si="77"/>
        <v>5.9 Hrs</v>
      </c>
    </row>
    <row r="366" spans="3:21" s="172" customFormat="1" ht="20.25" customHeight="1">
      <c r="C366" s="185">
        <f>D366</f>
        <v>366</v>
      </c>
      <c r="D366" s="190">
        <f t="shared" si="68"/>
        <v>366</v>
      </c>
      <c r="E366" s="196" t="s">
        <v>362</v>
      </c>
      <c r="F366" s="197">
        <f>D363</f>
        <v>363</v>
      </c>
      <c r="G366" s="193"/>
      <c r="H366" s="193"/>
      <c r="I366" s="195"/>
      <c r="J366" s="195"/>
      <c r="K366" s="221"/>
      <c r="L366" s="195"/>
      <c r="M366" s="204"/>
      <c r="N366" s="195"/>
      <c r="O366" s="205"/>
      <c r="P366" s="195"/>
      <c r="Q366" s="227"/>
      <c r="R366" s="226"/>
      <c r="S366" s="227"/>
      <c r="T366" s="203"/>
      <c r="U366" s="183"/>
    </row>
    <row r="367" spans="3:21" s="172" customFormat="1" ht="20.25" customHeight="1">
      <c r="C367" s="185"/>
      <c r="D367" s="190">
        <f t="shared" si="68"/>
        <v>367</v>
      </c>
      <c r="E367" s="194" t="s">
        <v>363</v>
      </c>
      <c r="F367" s="198"/>
      <c r="G367" s="193" t="s">
        <v>44</v>
      </c>
      <c r="H367" s="193"/>
      <c r="I367" s="211">
        <v>12</v>
      </c>
      <c r="J367" s="195" t="str">
        <f>J365</f>
        <v>1560 mm id</v>
      </c>
      <c r="K367" s="221">
        <v>1</v>
      </c>
      <c r="L367" s="195" t="s">
        <v>81</v>
      </c>
      <c r="M367" s="204">
        <v>1</v>
      </c>
      <c r="N367" s="195" t="s">
        <v>249</v>
      </c>
      <c r="O367" s="205">
        <v>1</v>
      </c>
      <c r="P367" s="195" t="s">
        <v>112</v>
      </c>
      <c r="Q367" s="227">
        <f t="shared" si="76"/>
        <v>1</v>
      </c>
      <c r="R367" s="226">
        <v>1</v>
      </c>
      <c r="S367" s="227">
        <f t="shared" si="79"/>
        <v>2</v>
      </c>
      <c r="T367" s="203" t="s">
        <v>48</v>
      </c>
      <c r="U367" s="183" t="str">
        <f t="shared" si="77"/>
        <v>2 Hrs</v>
      </c>
    </row>
    <row r="368" spans="3:21" s="172" customFormat="1" ht="20.25" customHeight="1">
      <c r="C368" s="185"/>
      <c r="D368" s="190">
        <f t="shared" si="68"/>
        <v>368</v>
      </c>
      <c r="E368" s="194" t="s">
        <v>364</v>
      </c>
      <c r="F368" s="198">
        <f t="shared" si="78"/>
        <v>367</v>
      </c>
      <c r="G368" s="193" t="s">
        <v>115</v>
      </c>
      <c r="H368" s="193"/>
      <c r="I368" s="211">
        <v>12</v>
      </c>
      <c r="J368" s="195" t="str">
        <f>J367</f>
        <v>1560 mm id</v>
      </c>
      <c r="K368" s="221">
        <v>1</v>
      </c>
      <c r="L368" s="195" t="s">
        <v>81</v>
      </c>
      <c r="M368" s="214">
        <f t="shared" ref="M368:M371" si="82">LEFT(J368,SEARCH(" ",J368,1)-1)*3.142*K368*0.001</f>
        <v>4.9015199999999997</v>
      </c>
      <c r="N368" s="195" t="s">
        <v>249</v>
      </c>
      <c r="O368" s="233">
        <f>VLOOKUP(I368,BM!$B$3:$Y$62,17,FALSE)</f>
        <v>2.5</v>
      </c>
      <c r="P368" s="195" t="s">
        <v>112</v>
      </c>
      <c r="Q368" s="227">
        <f t="shared" si="76"/>
        <v>12.253799999999998</v>
      </c>
      <c r="R368" s="226">
        <v>1</v>
      </c>
      <c r="S368" s="227">
        <f t="shared" si="79"/>
        <v>13.25</v>
      </c>
      <c r="T368" s="203" t="s">
        <v>48</v>
      </c>
      <c r="U368" s="183" t="str">
        <f t="shared" si="77"/>
        <v>13.25 Hrs</v>
      </c>
    </row>
    <row r="369" spans="3:21" s="172" customFormat="1" ht="20.25" customHeight="1">
      <c r="C369" s="185"/>
      <c r="D369" s="190">
        <f t="shared" si="68"/>
        <v>369</v>
      </c>
      <c r="E369" s="194" t="s">
        <v>365</v>
      </c>
      <c r="F369" s="198">
        <f t="shared" si="78"/>
        <v>368</v>
      </c>
      <c r="G369" s="193" t="s">
        <v>61</v>
      </c>
      <c r="H369" s="193"/>
      <c r="I369" s="211">
        <v>18</v>
      </c>
      <c r="J369" s="195" t="str">
        <f>J368</f>
        <v>1560 mm id</v>
      </c>
      <c r="K369" s="221">
        <v>1</v>
      </c>
      <c r="L369" s="195" t="s">
        <v>81</v>
      </c>
      <c r="M369" s="214">
        <f t="shared" si="82"/>
        <v>4.9015199999999997</v>
      </c>
      <c r="N369" s="195" t="s">
        <v>249</v>
      </c>
      <c r="O369" s="233">
        <f>VLOOKUP(I369,BM!$B$3:$Y$62,18,FALSE)</f>
        <v>1</v>
      </c>
      <c r="P369" s="195" t="s">
        <v>112</v>
      </c>
      <c r="Q369" s="227">
        <f t="shared" si="76"/>
        <v>4.9015199999999997</v>
      </c>
      <c r="R369" s="226">
        <v>1</v>
      </c>
      <c r="S369" s="227">
        <f t="shared" si="79"/>
        <v>5.9</v>
      </c>
      <c r="T369" s="203" t="s">
        <v>48</v>
      </c>
      <c r="U369" s="183" t="str">
        <f t="shared" si="77"/>
        <v>5.9 Hrs</v>
      </c>
    </row>
    <row r="370" spans="3:21" s="172" customFormat="1" ht="20.25" customHeight="1">
      <c r="C370" s="185"/>
      <c r="D370" s="190">
        <f t="shared" si="68"/>
        <v>370</v>
      </c>
      <c r="E370" s="194" t="s">
        <v>366</v>
      </c>
      <c r="F370" s="198">
        <f t="shared" si="78"/>
        <v>369</v>
      </c>
      <c r="G370" s="193" t="s">
        <v>115</v>
      </c>
      <c r="H370" s="193"/>
      <c r="I370" s="211">
        <v>6</v>
      </c>
      <c r="J370" s="195" t="str">
        <f>J369</f>
        <v>1560 mm id</v>
      </c>
      <c r="K370" s="221">
        <v>1</v>
      </c>
      <c r="L370" s="195" t="s">
        <v>81</v>
      </c>
      <c r="M370" s="214">
        <f t="shared" si="82"/>
        <v>4.9015199999999997</v>
      </c>
      <c r="N370" s="195" t="s">
        <v>249</v>
      </c>
      <c r="O370" s="233">
        <f>VLOOKUP(I370,BM!$B$3:$Y$62,17,FALSE)</f>
        <v>0.9</v>
      </c>
      <c r="P370" s="195" t="s">
        <v>112</v>
      </c>
      <c r="Q370" s="227">
        <f t="shared" si="76"/>
        <v>4.4113679999999995</v>
      </c>
      <c r="R370" s="226">
        <v>1</v>
      </c>
      <c r="S370" s="227">
        <f t="shared" si="79"/>
        <v>5.41</v>
      </c>
      <c r="T370" s="203" t="s">
        <v>48</v>
      </c>
      <c r="U370" s="183" t="str">
        <f t="shared" si="77"/>
        <v>5.41 Hrs</v>
      </c>
    </row>
    <row r="371" spans="3:21" s="172" customFormat="1" ht="20.25" customHeight="1">
      <c r="C371" s="185"/>
      <c r="D371" s="190">
        <f t="shared" si="68"/>
        <v>371</v>
      </c>
      <c r="E371" s="194" t="s">
        <v>367</v>
      </c>
      <c r="F371" s="198">
        <f t="shared" si="78"/>
        <v>370</v>
      </c>
      <c r="G371" s="193" t="s">
        <v>61</v>
      </c>
      <c r="H371" s="193"/>
      <c r="I371" s="211">
        <v>18</v>
      </c>
      <c r="J371" s="195" t="str">
        <f>J370</f>
        <v>1560 mm id</v>
      </c>
      <c r="K371" s="221">
        <v>1</v>
      </c>
      <c r="L371" s="195" t="s">
        <v>81</v>
      </c>
      <c r="M371" s="214">
        <f t="shared" si="82"/>
        <v>4.9015199999999997</v>
      </c>
      <c r="N371" s="195" t="s">
        <v>249</v>
      </c>
      <c r="O371" s="233">
        <f>VLOOKUP(I371,BM!$B$3:$Y$62,20,FALSE)</f>
        <v>0.5</v>
      </c>
      <c r="P371" s="195" t="s">
        <v>112</v>
      </c>
      <c r="Q371" s="227">
        <f t="shared" si="76"/>
        <v>2.4507599999999998</v>
      </c>
      <c r="R371" s="226">
        <v>1</v>
      </c>
      <c r="S371" s="227">
        <f t="shared" si="79"/>
        <v>3.45</v>
      </c>
      <c r="T371" s="203" t="s">
        <v>48</v>
      </c>
      <c r="U371" s="183" t="str">
        <f t="shared" si="77"/>
        <v>3.45 Hrs</v>
      </c>
    </row>
    <row r="372" spans="3:21" s="172" customFormat="1" ht="20.25" customHeight="1">
      <c r="C372" s="185">
        <f>D372</f>
        <v>372</v>
      </c>
      <c r="D372" s="190">
        <f t="shared" si="68"/>
        <v>372</v>
      </c>
      <c r="E372" s="196" t="s">
        <v>368</v>
      </c>
      <c r="F372" s="197">
        <f>D366</f>
        <v>366</v>
      </c>
      <c r="G372" s="193"/>
      <c r="H372" s="193"/>
      <c r="I372" s="195"/>
      <c r="J372" s="195"/>
      <c r="K372" s="221"/>
      <c r="L372" s="195"/>
      <c r="M372" s="204"/>
      <c r="N372" s="195"/>
      <c r="O372" s="205"/>
      <c r="P372" s="195"/>
      <c r="Q372" s="227"/>
      <c r="R372" s="226"/>
      <c r="S372" s="227"/>
      <c r="T372" s="203"/>
      <c r="U372" s="183"/>
    </row>
    <row r="373" spans="3:21" s="172" customFormat="1" ht="20.25" customHeight="1">
      <c r="C373" s="185"/>
      <c r="D373" s="190">
        <f t="shared" si="68"/>
        <v>373</v>
      </c>
      <c r="E373" s="194" t="s">
        <v>369</v>
      </c>
      <c r="F373" s="198"/>
      <c r="G373" s="193" t="s">
        <v>348</v>
      </c>
      <c r="H373" s="193"/>
      <c r="I373" s="211">
        <v>18</v>
      </c>
      <c r="J373" s="195" t="str">
        <f>J371</f>
        <v>1560 mm id</v>
      </c>
      <c r="K373" s="221">
        <v>1</v>
      </c>
      <c r="L373" s="195" t="s">
        <v>81</v>
      </c>
      <c r="M373" s="204">
        <v>1</v>
      </c>
      <c r="N373" s="195" t="s">
        <v>81</v>
      </c>
      <c r="O373" s="205">
        <v>4</v>
      </c>
      <c r="P373" s="195" t="s">
        <v>112</v>
      </c>
      <c r="Q373" s="227">
        <f t="shared" si="76"/>
        <v>4</v>
      </c>
      <c r="R373" s="226">
        <v>1</v>
      </c>
      <c r="S373" s="227">
        <f t="shared" si="79"/>
        <v>5</v>
      </c>
      <c r="T373" s="203" t="s">
        <v>48</v>
      </c>
      <c r="U373" s="183" t="str">
        <f t="shared" si="77"/>
        <v>5 Hrs</v>
      </c>
    </row>
    <row r="374" spans="3:21" s="172" customFormat="1" ht="20.25" customHeight="1">
      <c r="C374" s="185"/>
      <c r="D374" s="190">
        <f t="shared" si="68"/>
        <v>374</v>
      </c>
      <c r="E374" s="194" t="s">
        <v>370</v>
      </c>
      <c r="F374" s="198">
        <f t="shared" si="78"/>
        <v>373</v>
      </c>
      <c r="G374" s="193" t="s">
        <v>348</v>
      </c>
      <c r="H374" s="193"/>
      <c r="I374" s="211">
        <v>18</v>
      </c>
      <c r="J374" s="195" t="str">
        <f>J373</f>
        <v>1560 mm id</v>
      </c>
      <c r="K374" s="221">
        <v>1</v>
      </c>
      <c r="L374" s="195" t="s">
        <v>81</v>
      </c>
      <c r="M374" s="204">
        <v>1</v>
      </c>
      <c r="N374" s="195" t="s">
        <v>81</v>
      </c>
      <c r="O374" s="205">
        <v>4</v>
      </c>
      <c r="P374" s="195" t="s">
        <v>112</v>
      </c>
      <c r="Q374" s="227">
        <f t="shared" si="76"/>
        <v>4</v>
      </c>
      <c r="R374" s="226">
        <v>1</v>
      </c>
      <c r="S374" s="227">
        <f t="shared" si="79"/>
        <v>5</v>
      </c>
      <c r="T374" s="203" t="s">
        <v>48</v>
      </c>
      <c r="U374" s="183" t="str">
        <f t="shared" si="77"/>
        <v>5 Hrs</v>
      </c>
    </row>
    <row r="375" spans="3:21" s="172" customFormat="1" ht="20.25" customHeight="1">
      <c r="C375" s="185"/>
      <c r="D375" s="190">
        <f t="shared" si="68"/>
        <v>375</v>
      </c>
      <c r="E375" s="194" t="s">
        <v>370</v>
      </c>
      <c r="F375" s="198">
        <f t="shared" si="78"/>
        <v>374</v>
      </c>
      <c r="G375" s="193" t="s">
        <v>348</v>
      </c>
      <c r="H375" s="193"/>
      <c r="I375" s="211">
        <v>18</v>
      </c>
      <c r="J375" s="195" t="str">
        <f>J374</f>
        <v>1560 mm id</v>
      </c>
      <c r="K375" s="221">
        <v>1</v>
      </c>
      <c r="L375" s="195" t="s">
        <v>81</v>
      </c>
      <c r="M375" s="204">
        <v>1</v>
      </c>
      <c r="N375" s="195" t="s">
        <v>81</v>
      </c>
      <c r="O375" s="205">
        <v>4</v>
      </c>
      <c r="P375" s="195" t="s">
        <v>112</v>
      </c>
      <c r="Q375" s="227">
        <f t="shared" si="76"/>
        <v>4</v>
      </c>
      <c r="R375" s="226">
        <v>1</v>
      </c>
      <c r="S375" s="227">
        <f t="shared" si="79"/>
        <v>5</v>
      </c>
      <c r="T375" s="203" t="s">
        <v>48</v>
      </c>
      <c r="U375" s="183" t="str">
        <f t="shared" si="77"/>
        <v>5 Hrs</v>
      </c>
    </row>
    <row r="376" spans="3:21" s="172" customFormat="1" ht="20.25" customHeight="1">
      <c r="C376" s="185">
        <f>D376</f>
        <v>376</v>
      </c>
      <c r="D376" s="190">
        <f t="shared" si="68"/>
        <v>376</v>
      </c>
      <c r="E376" s="196" t="s">
        <v>371</v>
      </c>
      <c r="F376" s="197">
        <f>D372</f>
        <v>372</v>
      </c>
      <c r="G376" s="193"/>
      <c r="H376" s="193"/>
      <c r="I376" s="195"/>
      <c r="J376" s="195"/>
      <c r="K376" s="221"/>
      <c r="L376" s="195"/>
      <c r="M376" s="204"/>
      <c r="N376" s="195"/>
      <c r="O376" s="205"/>
      <c r="P376" s="195"/>
      <c r="Q376" s="227"/>
      <c r="R376" s="226"/>
      <c r="S376" s="227"/>
      <c r="T376" s="203"/>
      <c r="U376" s="183"/>
    </row>
    <row r="377" spans="3:21" s="172" customFormat="1" ht="20.25" customHeight="1">
      <c r="C377" s="185"/>
      <c r="D377" s="190">
        <f t="shared" si="68"/>
        <v>377</v>
      </c>
      <c r="E377" s="194" t="s">
        <v>372</v>
      </c>
      <c r="F377" s="198"/>
      <c r="G377" s="193" t="s">
        <v>52</v>
      </c>
      <c r="H377" s="193"/>
      <c r="I377" s="211">
        <v>18</v>
      </c>
      <c r="J377" s="221" t="s">
        <v>373</v>
      </c>
      <c r="K377" s="221">
        <v>1</v>
      </c>
      <c r="L377" s="195" t="s">
        <v>39</v>
      </c>
      <c r="M377" s="214">
        <f t="shared" ref="M377:M378" si="83">LEFT(J377,SEARCH(" ",J377,1)-1)*3.142*K377*0.001</f>
        <v>3.0540240000000001</v>
      </c>
      <c r="N377" s="195" t="s">
        <v>249</v>
      </c>
      <c r="O377" s="233">
        <f>VLOOKUP(I377,BM!$B$3:$Y$62,2,FALSE)</f>
        <v>0.1</v>
      </c>
      <c r="P377" s="195" t="s">
        <v>112</v>
      </c>
      <c r="Q377" s="227">
        <f t="shared" si="76"/>
        <v>0.30540240000000002</v>
      </c>
      <c r="R377" s="226">
        <v>1</v>
      </c>
      <c r="S377" s="227">
        <f t="shared" si="79"/>
        <v>1.31</v>
      </c>
      <c r="T377" s="203" t="s">
        <v>48</v>
      </c>
      <c r="U377" s="183" t="str">
        <f t="shared" si="77"/>
        <v>1.31 Hrs</v>
      </c>
    </row>
    <row r="378" spans="3:21" s="172" customFormat="1" ht="20.25" customHeight="1">
      <c r="C378" s="185"/>
      <c r="D378" s="190">
        <f t="shared" si="68"/>
        <v>378</v>
      </c>
      <c r="E378" s="194" t="s">
        <v>372</v>
      </c>
      <c r="F378" s="198">
        <f t="shared" si="78"/>
        <v>377</v>
      </c>
      <c r="G378" s="193" t="s">
        <v>52</v>
      </c>
      <c r="H378" s="193"/>
      <c r="I378" s="211">
        <v>18</v>
      </c>
      <c r="J378" s="195" t="str">
        <f>J377</f>
        <v>972 mm lip od</v>
      </c>
      <c r="K378" s="221">
        <v>1</v>
      </c>
      <c r="L378" s="195" t="s">
        <v>39</v>
      </c>
      <c r="M378" s="214">
        <f t="shared" si="83"/>
        <v>3.0540240000000001</v>
      </c>
      <c r="N378" s="195" t="s">
        <v>249</v>
      </c>
      <c r="O378" s="233">
        <f>VLOOKUP(I378,BM!$B$3:$Y$62,2,FALSE)</f>
        <v>0.1</v>
      </c>
      <c r="P378" s="195" t="s">
        <v>112</v>
      </c>
      <c r="Q378" s="227">
        <f t="shared" si="76"/>
        <v>0.30540240000000002</v>
      </c>
      <c r="R378" s="226">
        <v>1</v>
      </c>
      <c r="S378" s="227">
        <f t="shared" si="79"/>
        <v>1.31</v>
      </c>
      <c r="T378" s="203" t="s">
        <v>48</v>
      </c>
      <c r="U378" s="183" t="str">
        <f t="shared" si="77"/>
        <v>1.31 Hrs</v>
      </c>
    </row>
    <row r="379" spans="3:21" s="172" customFormat="1" ht="20.25" customHeight="1">
      <c r="C379" s="185">
        <f t="shared" ref="C379:C380" si="84">D379</f>
        <v>379</v>
      </c>
      <c r="D379" s="190">
        <f t="shared" si="68"/>
        <v>379</v>
      </c>
      <c r="E379" s="194" t="s">
        <v>109</v>
      </c>
      <c r="F379" s="198">
        <f>D376</f>
        <v>376</v>
      </c>
      <c r="G379" s="193" t="s">
        <v>52</v>
      </c>
      <c r="H379" s="193"/>
      <c r="I379" s="195"/>
      <c r="J379" s="195"/>
      <c r="K379" s="221">
        <v>2</v>
      </c>
      <c r="L379" s="195" t="s">
        <v>81</v>
      </c>
      <c r="M379" s="204">
        <v>2</v>
      </c>
      <c r="N379" s="195" t="s">
        <v>81</v>
      </c>
      <c r="O379" s="205">
        <v>0.5</v>
      </c>
      <c r="P379" s="195" t="s">
        <v>112</v>
      </c>
      <c r="Q379" s="227">
        <f t="shared" si="76"/>
        <v>1</v>
      </c>
      <c r="R379" s="226">
        <v>1</v>
      </c>
      <c r="S379" s="227">
        <f t="shared" si="79"/>
        <v>2</v>
      </c>
      <c r="T379" s="203" t="s">
        <v>48</v>
      </c>
      <c r="U379" s="183" t="str">
        <f t="shared" si="77"/>
        <v>2 Hrs</v>
      </c>
    </row>
    <row r="380" spans="3:21" s="172" customFormat="1" ht="20.25" customHeight="1">
      <c r="C380" s="185">
        <f t="shared" si="84"/>
        <v>380</v>
      </c>
      <c r="D380" s="190">
        <f t="shared" si="68"/>
        <v>380</v>
      </c>
      <c r="E380" s="196" t="s">
        <v>374</v>
      </c>
      <c r="F380" s="197">
        <f>D379</f>
        <v>379</v>
      </c>
      <c r="G380" s="193"/>
      <c r="H380" s="193"/>
      <c r="I380" s="195"/>
      <c r="J380" s="195"/>
      <c r="K380" s="221"/>
      <c r="L380" s="195"/>
      <c r="M380" s="204"/>
      <c r="N380" s="195"/>
      <c r="O380" s="205"/>
      <c r="P380" s="195"/>
      <c r="Q380" s="227"/>
      <c r="R380" s="226"/>
      <c r="S380" s="227"/>
      <c r="T380" s="203"/>
      <c r="U380" s="183"/>
    </row>
    <row r="381" spans="3:21" s="172" customFormat="1" ht="20.25" customHeight="1">
      <c r="C381" s="185"/>
      <c r="D381" s="190">
        <f t="shared" si="68"/>
        <v>381</v>
      </c>
      <c r="E381" s="194" t="s">
        <v>372</v>
      </c>
      <c r="F381" s="198"/>
      <c r="G381" s="193" t="s">
        <v>61</v>
      </c>
      <c r="H381" s="193"/>
      <c r="I381" s="211">
        <v>18</v>
      </c>
      <c r="J381" s="195" t="str">
        <f>J378</f>
        <v>972 mm lip od</v>
      </c>
      <c r="K381" s="221">
        <v>1</v>
      </c>
      <c r="L381" s="195" t="s">
        <v>39</v>
      </c>
      <c r="M381" s="214">
        <f t="shared" ref="M381:M382" si="85">LEFT(J381,SEARCH(" ",J381,1)-1)*3.142*K381*0.001</f>
        <v>3.0540240000000001</v>
      </c>
      <c r="N381" s="195" t="s">
        <v>249</v>
      </c>
      <c r="O381" s="233">
        <f>VLOOKUP(I381,BM!$B$3:$Y$62,6,FALSE)</f>
        <v>1</v>
      </c>
      <c r="P381" s="195" t="s">
        <v>112</v>
      </c>
      <c r="Q381" s="227">
        <f t="shared" si="76"/>
        <v>3.0540240000000001</v>
      </c>
      <c r="R381" s="226">
        <v>1</v>
      </c>
      <c r="S381" s="227">
        <f t="shared" si="79"/>
        <v>4.05</v>
      </c>
      <c r="T381" s="203" t="s">
        <v>48</v>
      </c>
      <c r="U381" s="183" t="str">
        <f t="shared" si="77"/>
        <v>4.05 Hrs</v>
      </c>
    </row>
    <row r="382" spans="3:21" s="172" customFormat="1" ht="20.25" customHeight="1">
      <c r="C382" s="185"/>
      <c r="D382" s="190">
        <f t="shared" si="68"/>
        <v>382</v>
      </c>
      <c r="E382" s="194" t="s">
        <v>372</v>
      </c>
      <c r="F382" s="198">
        <f t="shared" si="78"/>
        <v>381</v>
      </c>
      <c r="G382" s="193" t="s">
        <v>61</v>
      </c>
      <c r="H382" s="193"/>
      <c r="I382" s="211">
        <v>18</v>
      </c>
      <c r="J382" s="195" t="str">
        <f>J381</f>
        <v>972 mm lip od</v>
      </c>
      <c r="K382" s="221">
        <v>1</v>
      </c>
      <c r="L382" s="195" t="s">
        <v>39</v>
      </c>
      <c r="M382" s="214">
        <f t="shared" si="85"/>
        <v>3.0540240000000001</v>
      </c>
      <c r="N382" s="195" t="s">
        <v>249</v>
      </c>
      <c r="O382" s="233">
        <f>VLOOKUP(I382,BM!$B$3:$Y$62,6,FALSE)</f>
        <v>1</v>
      </c>
      <c r="P382" s="195" t="s">
        <v>112</v>
      </c>
      <c r="Q382" s="227">
        <f t="shared" si="76"/>
        <v>3.0540240000000001</v>
      </c>
      <c r="R382" s="226">
        <v>1</v>
      </c>
      <c r="S382" s="227">
        <f t="shared" si="79"/>
        <v>4.05</v>
      </c>
      <c r="T382" s="203" t="s">
        <v>48</v>
      </c>
      <c r="U382" s="183" t="str">
        <f t="shared" si="77"/>
        <v>4.05 Hrs</v>
      </c>
    </row>
    <row r="383" spans="3:21" s="172" customFormat="1" ht="20.25" customHeight="1">
      <c r="C383" s="185"/>
      <c r="D383" s="190">
        <f t="shared" si="68"/>
        <v>383</v>
      </c>
      <c r="E383" s="194" t="s">
        <v>109</v>
      </c>
      <c r="F383" s="198">
        <f t="shared" si="78"/>
        <v>382</v>
      </c>
      <c r="G383" s="193"/>
      <c r="H383" s="193"/>
      <c r="I383" s="195"/>
      <c r="J383" s="195"/>
      <c r="K383" s="221">
        <v>1</v>
      </c>
      <c r="L383" s="195" t="s">
        <v>39</v>
      </c>
      <c r="M383" s="204">
        <v>2</v>
      </c>
      <c r="N383" s="195" t="s">
        <v>81</v>
      </c>
      <c r="O383" s="205">
        <v>0.5</v>
      </c>
      <c r="P383" s="195" t="s">
        <v>112</v>
      </c>
      <c r="Q383" s="227">
        <f t="shared" si="76"/>
        <v>1</v>
      </c>
      <c r="R383" s="226">
        <v>1</v>
      </c>
      <c r="S383" s="227">
        <f t="shared" si="79"/>
        <v>2</v>
      </c>
      <c r="T383" s="203" t="s">
        <v>48</v>
      </c>
      <c r="U383" s="183" t="str">
        <f t="shared" si="77"/>
        <v>2 Hrs</v>
      </c>
    </row>
    <row r="384" spans="3:21" s="172" customFormat="1" ht="20.25" customHeight="1">
      <c r="C384" s="185">
        <f>D384</f>
        <v>384</v>
      </c>
      <c r="D384" s="190">
        <f t="shared" si="68"/>
        <v>384</v>
      </c>
      <c r="E384" s="196" t="s">
        <v>375</v>
      </c>
      <c r="F384" s="197">
        <f>D380</f>
        <v>380</v>
      </c>
      <c r="G384" s="193"/>
      <c r="H384" s="193"/>
      <c r="I384" s="195"/>
      <c r="J384" s="195"/>
      <c r="K384" s="221"/>
      <c r="L384" s="195"/>
      <c r="M384" s="204"/>
      <c r="N384" s="195"/>
      <c r="O384" s="205"/>
      <c r="P384" s="195"/>
      <c r="Q384" s="227"/>
      <c r="R384" s="226"/>
      <c r="S384" s="227"/>
      <c r="T384" s="203"/>
      <c r="U384" s="183"/>
    </row>
    <row r="385" spans="3:21" s="172" customFormat="1" ht="20.25" customHeight="1">
      <c r="C385" s="185"/>
      <c r="D385" s="190">
        <f t="shared" si="68"/>
        <v>385</v>
      </c>
      <c r="E385" s="194" t="s">
        <v>372</v>
      </c>
      <c r="F385" s="198"/>
      <c r="G385" s="193" t="s">
        <v>299</v>
      </c>
      <c r="H385" s="193"/>
      <c r="I385" s="195"/>
      <c r="J385" s="221" t="s">
        <v>376</v>
      </c>
      <c r="K385" s="221">
        <v>1</v>
      </c>
      <c r="L385" s="195" t="s">
        <v>39</v>
      </c>
      <c r="M385" s="204">
        <v>1</v>
      </c>
      <c r="N385" s="195" t="s">
        <v>249</v>
      </c>
      <c r="O385" s="233" t="e">
        <f>VLOOKUP(J385,BM!$B$3:$Y$62,11,FALSE)</f>
        <v>#N/A</v>
      </c>
      <c r="P385" s="195" t="s">
        <v>112</v>
      </c>
      <c r="Q385" s="227" t="e">
        <f t="shared" si="76"/>
        <v>#N/A</v>
      </c>
      <c r="R385" s="226">
        <v>1</v>
      </c>
      <c r="S385" s="227" t="e">
        <f t="shared" si="79"/>
        <v>#N/A</v>
      </c>
      <c r="T385" s="203" t="s">
        <v>48</v>
      </c>
      <c r="U385" s="183" t="e">
        <f t="shared" si="77"/>
        <v>#N/A</v>
      </c>
    </row>
    <row r="386" spans="3:21" s="172" customFormat="1" ht="20.25" customHeight="1">
      <c r="C386" s="185"/>
      <c r="D386" s="190">
        <f t="shared" si="68"/>
        <v>386</v>
      </c>
      <c r="E386" s="194" t="s">
        <v>372</v>
      </c>
      <c r="F386" s="198">
        <f t="shared" si="78"/>
        <v>385</v>
      </c>
      <c r="G386" s="193" t="s">
        <v>299</v>
      </c>
      <c r="H386" s="193"/>
      <c r="I386" s="195"/>
      <c r="J386" s="221" t="s">
        <v>376</v>
      </c>
      <c r="K386" s="221">
        <v>1</v>
      </c>
      <c r="L386" s="195" t="s">
        <v>39</v>
      </c>
      <c r="M386" s="204">
        <v>1</v>
      </c>
      <c r="N386" s="195" t="s">
        <v>249</v>
      </c>
      <c r="O386" s="233" t="e">
        <f>VLOOKUP(J386,BM!$B$3:$Y$62,11,FALSE)</f>
        <v>#N/A</v>
      </c>
      <c r="P386" s="195" t="s">
        <v>112</v>
      </c>
      <c r="Q386" s="227" t="e">
        <f t="shared" si="76"/>
        <v>#N/A</v>
      </c>
      <c r="R386" s="226">
        <v>1</v>
      </c>
      <c r="S386" s="227" t="e">
        <f t="shared" si="79"/>
        <v>#N/A</v>
      </c>
      <c r="T386" s="203" t="s">
        <v>48</v>
      </c>
      <c r="U386" s="183" t="e">
        <f t="shared" si="77"/>
        <v>#N/A</v>
      </c>
    </row>
    <row r="387" spans="3:21" s="172" customFormat="1" ht="20.25" customHeight="1">
      <c r="C387" s="185"/>
      <c r="D387" s="190">
        <f t="shared" ref="D387:D450" si="86">D386+1</f>
        <v>387</v>
      </c>
      <c r="E387" s="194" t="s">
        <v>377</v>
      </c>
      <c r="F387" s="198">
        <f t="shared" si="78"/>
        <v>386</v>
      </c>
      <c r="G387" s="193"/>
      <c r="H387" s="193"/>
      <c r="I387" s="195"/>
      <c r="J387" s="195"/>
      <c r="K387" s="221">
        <v>2</v>
      </c>
      <c r="L387" s="195" t="s">
        <v>39</v>
      </c>
      <c r="M387" s="204">
        <v>1</v>
      </c>
      <c r="N387" s="195" t="s">
        <v>81</v>
      </c>
      <c r="O387" s="205">
        <v>1</v>
      </c>
      <c r="P387" s="195" t="s">
        <v>112</v>
      </c>
      <c r="Q387" s="227">
        <f t="shared" si="76"/>
        <v>1</v>
      </c>
      <c r="R387" s="226">
        <v>1</v>
      </c>
      <c r="S387" s="227">
        <f t="shared" si="79"/>
        <v>2</v>
      </c>
      <c r="T387" s="203" t="s">
        <v>48</v>
      </c>
      <c r="U387" s="183" t="str">
        <f t="shared" si="77"/>
        <v>2 Hrs</v>
      </c>
    </row>
    <row r="388" spans="3:21" s="172" customFormat="1" ht="20.25" customHeight="1">
      <c r="C388" s="185">
        <f>D388</f>
        <v>388</v>
      </c>
      <c r="D388" s="190">
        <f t="shared" si="86"/>
        <v>388</v>
      </c>
      <c r="E388" s="196" t="s">
        <v>378</v>
      </c>
      <c r="F388" s="197">
        <f>D384</f>
        <v>384</v>
      </c>
      <c r="G388" s="193"/>
      <c r="H388" s="193"/>
      <c r="I388" s="195"/>
      <c r="J388" s="195"/>
      <c r="K388" s="221"/>
      <c r="L388" s="195"/>
      <c r="M388" s="204"/>
      <c r="N388" s="195"/>
      <c r="O388" s="205"/>
      <c r="P388" s="195"/>
      <c r="Q388" s="227"/>
      <c r="R388" s="226"/>
      <c r="S388" s="227"/>
      <c r="T388" s="203"/>
      <c r="U388" s="183"/>
    </row>
    <row r="389" spans="3:21" s="172" customFormat="1" ht="20.25" customHeight="1">
      <c r="C389" s="185"/>
      <c r="D389" s="190">
        <f t="shared" si="86"/>
        <v>389</v>
      </c>
      <c r="E389" s="194" t="s">
        <v>372</v>
      </c>
      <c r="F389" s="198"/>
      <c r="G389" s="193" t="s">
        <v>44</v>
      </c>
      <c r="H389" s="193"/>
      <c r="I389" s="195"/>
      <c r="J389" s="221" t="s">
        <v>376</v>
      </c>
      <c r="K389" s="221">
        <v>1</v>
      </c>
      <c r="L389" s="195" t="s">
        <v>39</v>
      </c>
      <c r="M389" s="204">
        <v>1</v>
      </c>
      <c r="N389" s="195" t="s">
        <v>48</v>
      </c>
      <c r="O389" s="205">
        <v>1</v>
      </c>
      <c r="P389" s="195" t="s">
        <v>112</v>
      </c>
      <c r="Q389" s="227">
        <f t="shared" si="76"/>
        <v>1</v>
      </c>
      <c r="R389" s="226">
        <v>1</v>
      </c>
      <c r="S389" s="227">
        <f t="shared" si="79"/>
        <v>2</v>
      </c>
      <c r="T389" s="203" t="s">
        <v>48</v>
      </c>
      <c r="U389" s="183" t="str">
        <f t="shared" si="77"/>
        <v>2 Hrs</v>
      </c>
    </row>
    <row r="390" spans="3:21" s="172" customFormat="1" ht="20.25" customHeight="1">
      <c r="C390" s="185"/>
      <c r="D390" s="190">
        <f t="shared" si="86"/>
        <v>390</v>
      </c>
      <c r="E390" s="194" t="s">
        <v>372</v>
      </c>
      <c r="F390" s="198">
        <f t="shared" si="78"/>
        <v>389</v>
      </c>
      <c r="G390" s="193" t="s">
        <v>44</v>
      </c>
      <c r="H390" s="193"/>
      <c r="I390" s="195"/>
      <c r="J390" s="221" t="s">
        <v>376</v>
      </c>
      <c r="K390" s="221">
        <v>1</v>
      </c>
      <c r="L390" s="195" t="s">
        <v>39</v>
      </c>
      <c r="M390" s="204">
        <v>1</v>
      </c>
      <c r="N390" s="195" t="s">
        <v>48</v>
      </c>
      <c r="O390" s="205">
        <v>1</v>
      </c>
      <c r="P390" s="195" t="s">
        <v>112</v>
      </c>
      <c r="Q390" s="227">
        <f t="shared" si="76"/>
        <v>1</v>
      </c>
      <c r="R390" s="226">
        <v>1</v>
      </c>
      <c r="S390" s="227">
        <f t="shared" si="79"/>
        <v>2</v>
      </c>
      <c r="T390" s="203" t="s">
        <v>48</v>
      </c>
      <c r="U390" s="183" t="str">
        <f t="shared" si="77"/>
        <v>2 Hrs</v>
      </c>
    </row>
    <row r="391" spans="3:21" s="172" customFormat="1" ht="20.25" customHeight="1">
      <c r="C391" s="185"/>
      <c r="D391" s="190">
        <f t="shared" si="86"/>
        <v>391</v>
      </c>
      <c r="E391" s="194" t="s">
        <v>377</v>
      </c>
      <c r="F391" s="198">
        <f t="shared" si="78"/>
        <v>390</v>
      </c>
      <c r="G391" s="193" t="s">
        <v>44</v>
      </c>
      <c r="H391" s="193"/>
      <c r="I391" s="195"/>
      <c r="J391" s="221" t="s">
        <v>376</v>
      </c>
      <c r="K391" s="221">
        <v>2</v>
      </c>
      <c r="L391" s="195" t="s">
        <v>39</v>
      </c>
      <c r="M391" s="204">
        <v>1</v>
      </c>
      <c r="N391" s="195" t="s">
        <v>48</v>
      </c>
      <c r="O391" s="205">
        <v>1</v>
      </c>
      <c r="P391" s="195" t="s">
        <v>112</v>
      </c>
      <c r="Q391" s="227">
        <f t="shared" si="76"/>
        <v>1</v>
      </c>
      <c r="R391" s="226">
        <v>1</v>
      </c>
      <c r="S391" s="227">
        <f t="shared" si="79"/>
        <v>2</v>
      </c>
      <c r="T391" s="203" t="s">
        <v>48</v>
      </c>
      <c r="U391" s="183" t="str">
        <f t="shared" si="77"/>
        <v>2 Hrs</v>
      </c>
    </row>
    <row r="392" spans="3:21" s="172" customFormat="1" ht="20.25" customHeight="1">
      <c r="C392" s="185">
        <f>D392</f>
        <v>392</v>
      </c>
      <c r="D392" s="190">
        <f t="shared" si="86"/>
        <v>392</v>
      </c>
      <c r="E392" s="196" t="s">
        <v>379</v>
      </c>
      <c r="F392" s="197">
        <f>D388</f>
        <v>388</v>
      </c>
      <c r="G392" s="193"/>
      <c r="H392" s="193"/>
      <c r="I392" s="195"/>
      <c r="J392" s="195"/>
      <c r="K392" s="221"/>
      <c r="L392" s="195"/>
      <c r="M392" s="204"/>
      <c r="N392" s="195"/>
      <c r="O392" s="205"/>
      <c r="P392" s="195"/>
      <c r="Q392" s="227"/>
      <c r="R392" s="226"/>
      <c r="S392" s="227"/>
      <c r="T392" s="203"/>
      <c r="U392" s="183"/>
    </row>
    <row r="393" spans="3:21" s="172" customFormat="1" ht="20.25" customHeight="1">
      <c r="C393" s="185"/>
      <c r="D393" s="190">
        <f t="shared" si="86"/>
        <v>393</v>
      </c>
      <c r="E393" s="194" t="s">
        <v>380</v>
      </c>
      <c r="F393" s="198"/>
      <c r="G393" s="193" t="s">
        <v>37</v>
      </c>
      <c r="H393" s="193"/>
      <c r="I393" s="195"/>
      <c r="J393" s="195"/>
      <c r="K393" s="221">
        <v>1</v>
      </c>
      <c r="L393" s="195" t="s">
        <v>39</v>
      </c>
      <c r="M393" s="204">
        <v>1</v>
      </c>
      <c r="N393" s="195" t="s">
        <v>81</v>
      </c>
      <c r="O393" s="205">
        <v>1</v>
      </c>
      <c r="P393" s="195" t="s">
        <v>162</v>
      </c>
      <c r="Q393" s="227">
        <f t="shared" si="76"/>
        <v>1</v>
      </c>
      <c r="R393" s="226"/>
      <c r="S393" s="227">
        <f t="shared" si="79"/>
        <v>1</v>
      </c>
      <c r="T393" s="203" t="s">
        <v>48</v>
      </c>
      <c r="U393" s="183" t="str">
        <f t="shared" si="77"/>
        <v>1 Hrs</v>
      </c>
    </row>
    <row r="394" spans="3:21" s="172" customFormat="1" ht="20.25" customHeight="1">
      <c r="C394" s="185"/>
      <c r="D394" s="190">
        <f t="shared" si="86"/>
        <v>394</v>
      </c>
      <c r="E394" s="194" t="s">
        <v>381</v>
      </c>
      <c r="F394" s="198">
        <f t="shared" si="78"/>
        <v>393</v>
      </c>
      <c r="G394" s="193" t="s">
        <v>115</v>
      </c>
      <c r="H394" s="193"/>
      <c r="I394" s="211">
        <v>12</v>
      </c>
      <c r="J394" s="195" t="str">
        <f>J382</f>
        <v>972 mm lip od</v>
      </c>
      <c r="K394" s="221">
        <v>1</v>
      </c>
      <c r="L394" s="195" t="s">
        <v>39</v>
      </c>
      <c r="M394" s="214">
        <f t="shared" ref="M394:M400" si="87">LEFT(J394,SEARCH(" ",J394,1)-1)*3.142*K394*0.001</f>
        <v>3.0540240000000001</v>
      </c>
      <c r="N394" s="195" t="s">
        <v>249</v>
      </c>
      <c r="O394" s="233">
        <f>VLOOKUP(I394,BM!$B$3:$Y$62,17,FALSE)</f>
        <v>2.5</v>
      </c>
      <c r="P394" s="195" t="s">
        <v>112</v>
      </c>
      <c r="Q394" s="227">
        <f t="shared" si="76"/>
        <v>7.6350600000000002</v>
      </c>
      <c r="R394" s="226">
        <v>1</v>
      </c>
      <c r="S394" s="227">
        <f t="shared" si="79"/>
        <v>8.64</v>
      </c>
      <c r="T394" s="203" t="s">
        <v>48</v>
      </c>
      <c r="U394" s="183" t="str">
        <f t="shared" si="77"/>
        <v>8.64 Hrs</v>
      </c>
    </row>
    <row r="395" spans="3:21" s="172" customFormat="1" ht="20.25" customHeight="1">
      <c r="C395" s="185"/>
      <c r="D395" s="190">
        <f t="shared" si="86"/>
        <v>395</v>
      </c>
      <c r="E395" s="194" t="s">
        <v>382</v>
      </c>
      <c r="F395" s="198">
        <f t="shared" si="78"/>
        <v>394</v>
      </c>
      <c r="G395" s="193" t="s">
        <v>115</v>
      </c>
      <c r="H395" s="193"/>
      <c r="I395" s="211">
        <v>12</v>
      </c>
      <c r="J395" s="195" t="str">
        <f t="shared" ref="J395:J400" si="88">J394</f>
        <v>972 mm lip od</v>
      </c>
      <c r="K395" s="221">
        <v>1</v>
      </c>
      <c r="L395" s="195" t="s">
        <v>39</v>
      </c>
      <c r="M395" s="214">
        <f t="shared" si="87"/>
        <v>3.0540240000000001</v>
      </c>
      <c r="N395" s="195" t="s">
        <v>249</v>
      </c>
      <c r="O395" s="233">
        <f>VLOOKUP(I395,BM!$B$3:$Y$62,17,FALSE)</f>
        <v>2.5</v>
      </c>
      <c r="P395" s="195" t="s">
        <v>112</v>
      </c>
      <c r="Q395" s="227">
        <f t="shared" si="76"/>
        <v>7.6350600000000002</v>
      </c>
      <c r="R395" s="226">
        <v>1</v>
      </c>
      <c r="S395" s="227">
        <f t="shared" si="79"/>
        <v>8.64</v>
      </c>
      <c r="T395" s="203" t="s">
        <v>48</v>
      </c>
      <c r="U395" s="183" t="str">
        <f t="shared" si="77"/>
        <v>8.64 Hrs</v>
      </c>
    </row>
    <row r="396" spans="3:21" s="172" customFormat="1" ht="20.25" customHeight="1">
      <c r="C396" s="185"/>
      <c r="D396" s="190">
        <f t="shared" si="86"/>
        <v>396</v>
      </c>
      <c r="E396" s="194" t="s">
        <v>383</v>
      </c>
      <c r="F396" s="198">
        <f t="shared" si="78"/>
        <v>395</v>
      </c>
      <c r="G396" s="193" t="s">
        <v>115</v>
      </c>
      <c r="H396" s="193"/>
      <c r="I396" s="211">
        <v>12</v>
      </c>
      <c r="J396" s="195" t="str">
        <f t="shared" si="88"/>
        <v>972 mm lip od</v>
      </c>
      <c r="K396" s="221">
        <v>1</v>
      </c>
      <c r="L396" s="195" t="s">
        <v>39</v>
      </c>
      <c r="M396" s="214">
        <f t="shared" si="87"/>
        <v>3.0540240000000001</v>
      </c>
      <c r="N396" s="195" t="s">
        <v>249</v>
      </c>
      <c r="O396" s="233">
        <f>VLOOKUP(I396,BM!$B$3:$Y$62,17,FALSE)</f>
        <v>2.5</v>
      </c>
      <c r="P396" s="195" t="s">
        <v>112</v>
      </c>
      <c r="Q396" s="227">
        <f t="shared" si="76"/>
        <v>7.6350600000000002</v>
      </c>
      <c r="R396" s="226">
        <v>1</v>
      </c>
      <c r="S396" s="227">
        <f t="shared" si="79"/>
        <v>8.64</v>
      </c>
      <c r="T396" s="203" t="s">
        <v>48</v>
      </c>
      <c r="U396" s="183" t="str">
        <f t="shared" si="77"/>
        <v>8.64 Hrs</v>
      </c>
    </row>
    <row r="397" spans="3:21" s="172" customFormat="1" ht="20.25" customHeight="1">
      <c r="C397" s="185"/>
      <c r="D397" s="190">
        <f t="shared" si="86"/>
        <v>397</v>
      </c>
      <c r="E397" s="194" t="s">
        <v>384</v>
      </c>
      <c r="F397" s="198">
        <f t="shared" si="78"/>
        <v>396</v>
      </c>
      <c r="G397" s="193" t="s">
        <v>44</v>
      </c>
      <c r="H397" s="193"/>
      <c r="I397" s="211">
        <v>12</v>
      </c>
      <c r="J397" s="195" t="str">
        <f t="shared" si="88"/>
        <v>972 mm lip od</v>
      </c>
      <c r="K397" s="221">
        <v>2</v>
      </c>
      <c r="L397" s="195" t="s">
        <v>39</v>
      </c>
      <c r="M397" s="214">
        <f t="shared" si="87"/>
        <v>6.1080480000000001</v>
      </c>
      <c r="N397" s="195" t="s">
        <v>249</v>
      </c>
      <c r="O397" s="205">
        <v>1</v>
      </c>
      <c r="P397" s="195" t="s">
        <v>112</v>
      </c>
      <c r="Q397" s="227">
        <f t="shared" si="76"/>
        <v>6.1080480000000001</v>
      </c>
      <c r="R397" s="226">
        <v>1</v>
      </c>
      <c r="S397" s="227">
        <f t="shared" si="79"/>
        <v>7.11</v>
      </c>
      <c r="T397" s="203" t="s">
        <v>48</v>
      </c>
      <c r="U397" s="183" t="str">
        <f t="shared" si="77"/>
        <v>7.11 Hrs</v>
      </c>
    </row>
    <row r="398" spans="3:21" s="172" customFormat="1" ht="20.25" customHeight="1">
      <c r="C398" s="185"/>
      <c r="D398" s="190">
        <f t="shared" si="86"/>
        <v>398</v>
      </c>
      <c r="E398" s="194" t="s">
        <v>385</v>
      </c>
      <c r="F398" s="198">
        <f t="shared" si="78"/>
        <v>397</v>
      </c>
      <c r="G398" s="193" t="s">
        <v>386</v>
      </c>
      <c r="H398" s="193"/>
      <c r="I398" s="211">
        <v>8</v>
      </c>
      <c r="J398" s="195" t="str">
        <f t="shared" si="88"/>
        <v>972 mm lip od</v>
      </c>
      <c r="K398" s="221">
        <v>1</v>
      </c>
      <c r="L398" s="195" t="s">
        <v>39</v>
      </c>
      <c r="M398" s="214">
        <f t="shared" si="87"/>
        <v>3.0540240000000001</v>
      </c>
      <c r="N398" s="195" t="s">
        <v>249</v>
      </c>
      <c r="O398" s="233">
        <f>VLOOKUP(I398,BM!$B$3:$Y$62,17,FALSE)</f>
        <v>1.36</v>
      </c>
      <c r="P398" s="195" t="s">
        <v>112</v>
      </c>
      <c r="Q398" s="227">
        <f t="shared" si="76"/>
        <v>4.1534726400000004</v>
      </c>
      <c r="R398" s="226">
        <v>1</v>
      </c>
      <c r="S398" s="227">
        <f t="shared" si="79"/>
        <v>5.15</v>
      </c>
      <c r="T398" s="203" t="s">
        <v>48</v>
      </c>
      <c r="U398" s="183" t="str">
        <f t="shared" si="77"/>
        <v>5.15 Hrs</v>
      </c>
    </row>
    <row r="399" spans="3:21" s="172" customFormat="1" ht="20.25" customHeight="1">
      <c r="C399" s="185"/>
      <c r="D399" s="190">
        <f t="shared" si="86"/>
        <v>399</v>
      </c>
      <c r="E399" s="194" t="s">
        <v>387</v>
      </c>
      <c r="F399" s="198">
        <f t="shared" si="78"/>
        <v>398</v>
      </c>
      <c r="G399" s="193" t="s">
        <v>386</v>
      </c>
      <c r="H399" s="193"/>
      <c r="I399" s="211">
        <v>8</v>
      </c>
      <c r="J399" s="195" t="str">
        <f t="shared" si="88"/>
        <v>972 mm lip od</v>
      </c>
      <c r="K399" s="221">
        <v>1</v>
      </c>
      <c r="L399" s="195" t="s">
        <v>39</v>
      </c>
      <c r="M399" s="214">
        <f t="shared" si="87"/>
        <v>3.0540240000000001</v>
      </c>
      <c r="N399" s="195" t="s">
        <v>249</v>
      </c>
      <c r="O399" s="233">
        <f>VLOOKUP(I399,BM!$B$3:$Y$62,17,FALSE)</f>
        <v>1.36</v>
      </c>
      <c r="P399" s="195" t="s">
        <v>112</v>
      </c>
      <c r="Q399" s="227">
        <f t="shared" si="76"/>
        <v>4.1534726400000004</v>
      </c>
      <c r="R399" s="226">
        <v>1</v>
      </c>
      <c r="S399" s="227">
        <f t="shared" si="79"/>
        <v>5.15</v>
      </c>
      <c r="T399" s="203" t="s">
        <v>48</v>
      </c>
      <c r="U399" s="183" t="str">
        <f t="shared" si="77"/>
        <v>5.15 Hrs</v>
      </c>
    </row>
    <row r="400" spans="3:21" s="172" customFormat="1" ht="20.25" customHeight="1">
      <c r="C400" s="185"/>
      <c r="D400" s="190">
        <f t="shared" si="86"/>
        <v>400</v>
      </c>
      <c r="E400" s="194" t="s">
        <v>388</v>
      </c>
      <c r="F400" s="198">
        <f t="shared" si="78"/>
        <v>399</v>
      </c>
      <c r="G400" s="193" t="s">
        <v>386</v>
      </c>
      <c r="H400" s="193"/>
      <c r="I400" s="211">
        <v>8</v>
      </c>
      <c r="J400" s="195" t="str">
        <f t="shared" si="88"/>
        <v>972 mm lip od</v>
      </c>
      <c r="K400" s="221">
        <v>0</v>
      </c>
      <c r="L400" s="195" t="s">
        <v>39</v>
      </c>
      <c r="M400" s="214">
        <f t="shared" si="87"/>
        <v>0</v>
      </c>
      <c r="N400" s="195" t="s">
        <v>249</v>
      </c>
      <c r="O400" s="233">
        <f>VLOOKUP(I400,BM!$B$3:$Y$62,17,FALSE)</f>
        <v>1.36</v>
      </c>
      <c r="P400" s="195" t="s">
        <v>112</v>
      </c>
      <c r="Q400" s="227">
        <f t="shared" si="76"/>
        <v>0</v>
      </c>
      <c r="R400" s="226">
        <v>1</v>
      </c>
      <c r="S400" s="227">
        <f t="shared" si="79"/>
        <v>1</v>
      </c>
      <c r="T400" s="203" t="s">
        <v>48</v>
      </c>
      <c r="U400" s="183" t="str">
        <f t="shared" si="77"/>
        <v>1 Hrs</v>
      </c>
    </row>
    <row r="401" spans="3:21" s="172" customFormat="1" ht="20.25" customHeight="1">
      <c r="C401" s="185">
        <f>D401</f>
        <v>401</v>
      </c>
      <c r="D401" s="190">
        <f t="shared" si="86"/>
        <v>401</v>
      </c>
      <c r="E401" s="196" t="s">
        <v>389</v>
      </c>
      <c r="F401" s="197">
        <f>D392</f>
        <v>392</v>
      </c>
      <c r="G401" s="193"/>
      <c r="H401" s="193"/>
      <c r="I401" s="195"/>
      <c r="J401" s="195"/>
      <c r="K401" s="221"/>
      <c r="L401" s="195"/>
      <c r="M401" s="204"/>
      <c r="N401" s="195"/>
      <c r="O401" s="205"/>
      <c r="P401" s="195"/>
      <c r="Q401" s="227"/>
      <c r="R401" s="226"/>
      <c r="S401" s="227"/>
      <c r="T401" s="203"/>
      <c r="U401" s="183"/>
    </row>
    <row r="402" spans="3:21" s="172" customFormat="1" ht="20.25" customHeight="1">
      <c r="C402" s="185"/>
      <c r="D402" s="190">
        <f t="shared" si="86"/>
        <v>402</v>
      </c>
      <c r="E402" s="194" t="s">
        <v>390</v>
      </c>
      <c r="F402" s="198"/>
      <c r="G402" s="193" t="s">
        <v>111</v>
      </c>
      <c r="H402" s="193"/>
      <c r="I402" s="211">
        <v>25</v>
      </c>
      <c r="J402" s="212" t="s">
        <v>391</v>
      </c>
      <c r="K402" s="221">
        <v>2</v>
      </c>
      <c r="L402" s="195" t="s">
        <v>39</v>
      </c>
      <c r="M402" s="214">
        <f>LEFT(J402,SEARCH(" ",J402,1)-1)*3.142*K402*2*0.001</f>
        <v>20.058527999999999</v>
      </c>
      <c r="N402" s="195" t="s">
        <v>81</v>
      </c>
      <c r="O402" s="205">
        <v>0.5</v>
      </c>
      <c r="P402" s="195" t="s">
        <v>162</v>
      </c>
      <c r="Q402" s="227">
        <f t="shared" si="76"/>
        <v>10.029264</v>
      </c>
      <c r="R402" s="226">
        <v>1</v>
      </c>
      <c r="S402" s="227">
        <f t="shared" si="79"/>
        <v>11.03</v>
      </c>
      <c r="T402" s="203" t="s">
        <v>48</v>
      </c>
      <c r="U402" s="183" t="str">
        <f t="shared" si="77"/>
        <v>11.03 Hrs</v>
      </c>
    </row>
    <row r="403" spans="3:21" s="172" customFormat="1" ht="20.25" customHeight="1">
      <c r="C403" s="185"/>
      <c r="D403" s="190">
        <f t="shared" si="86"/>
        <v>403</v>
      </c>
      <c r="E403" s="194" t="s">
        <v>392</v>
      </c>
      <c r="F403" s="198">
        <f t="shared" si="78"/>
        <v>402</v>
      </c>
      <c r="G403" s="193" t="s">
        <v>156</v>
      </c>
      <c r="H403" s="193"/>
      <c r="I403" s="211">
        <v>12</v>
      </c>
      <c r="J403" s="195" t="str">
        <f>J402</f>
        <v>1596 mm od</v>
      </c>
      <c r="K403" s="221">
        <v>2</v>
      </c>
      <c r="L403" s="195" t="s">
        <v>249</v>
      </c>
      <c r="M403" s="214">
        <f>LEFT(J403,SEARCH(" ",J403,1)-1)*3.142*K403*2*0.001</f>
        <v>20.058527999999999</v>
      </c>
      <c r="N403" s="195" t="s">
        <v>249</v>
      </c>
      <c r="O403" s="233">
        <f>VLOOKUP(I403,BM!$B$3:$Y$62,22,FALSE)</f>
        <v>1.6</v>
      </c>
      <c r="P403" s="195" t="s">
        <v>162</v>
      </c>
      <c r="Q403" s="227">
        <f t="shared" si="76"/>
        <v>32.0936448</v>
      </c>
      <c r="R403" s="226">
        <v>1</v>
      </c>
      <c r="S403" s="227">
        <f t="shared" si="79"/>
        <v>33.090000000000003</v>
      </c>
      <c r="T403" s="203" t="s">
        <v>48</v>
      </c>
      <c r="U403" s="183" t="str">
        <f t="shared" si="77"/>
        <v>33.09 Hrs</v>
      </c>
    </row>
    <row r="404" spans="3:21" s="172" customFormat="1" ht="20.25" customHeight="1">
      <c r="C404" s="185"/>
      <c r="D404" s="190">
        <f t="shared" si="86"/>
        <v>404</v>
      </c>
      <c r="E404" s="194" t="s">
        <v>393</v>
      </c>
      <c r="F404" s="198">
        <f t="shared" si="78"/>
        <v>403</v>
      </c>
      <c r="G404" s="193" t="s">
        <v>394</v>
      </c>
      <c r="H404" s="193"/>
      <c r="I404" s="195"/>
      <c r="J404" s="198" t="str">
        <f>J403</f>
        <v>1596 mm od</v>
      </c>
      <c r="K404" s="221">
        <v>2</v>
      </c>
      <c r="L404" s="195" t="s">
        <v>81</v>
      </c>
      <c r="M404" s="204">
        <f>K404</f>
        <v>2</v>
      </c>
      <c r="N404" s="195" t="s">
        <v>81</v>
      </c>
      <c r="O404" s="205">
        <v>8</v>
      </c>
      <c r="P404" s="195" t="s">
        <v>162</v>
      </c>
      <c r="Q404" s="227">
        <f t="shared" si="76"/>
        <v>16</v>
      </c>
      <c r="R404" s="226">
        <v>1</v>
      </c>
      <c r="S404" s="227">
        <f t="shared" si="79"/>
        <v>17</v>
      </c>
      <c r="T404" s="203" t="s">
        <v>48</v>
      </c>
      <c r="U404" s="183" t="str">
        <f t="shared" si="77"/>
        <v>17 Hrs</v>
      </c>
    </row>
    <row r="405" spans="3:21" s="172" customFormat="1" ht="20.25" customHeight="1">
      <c r="C405" s="185"/>
      <c r="D405" s="190">
        <f t="shared" si="86"/>
        <v>405</v>
      </c>
      <c r="E405" s="194" t="s">
        <v>395</v>
      </c>
      <c r="F405" s="198">
        <f t="shared" si="78"/>
        <v>404</v>
      </c>
      <c r="G405" s="193" t="s">
        <v>396</v>
      </c>
      <c r="H405" s="193"/>
      <c r="I405" s="195"/>
      <c r="J405" s="198" t="str">
        <f>J404</f>
        <v>1596 mm od</v>
      </c>
      <c r="K405" s="221">
        <v>2</v>
      </c>
      <c r="L405" s="195" t="s">
        <v>81</v>
      </c>
      <c r="M405" s="204">
        <f>K405</f>
        <v>2</v>
      </c>
      <c r="N405" s="195" t="s">
        <v>81</v>
      </c>
      <c r="O405" s="205">
        <v>6</v>
      </c>
      <c r="P405" s="195" t="s">
        <v>162</v>
      </c>
      <c r="Q405" s="227">
        <f t="shared" si="76"/>
        <v>12</v>
      </c>
      <c r="R405" s="226">
        <v>1</v>
      </c>
      <c r="S405" s="227">
        <f t="shared" si="79"/>
        <v>13</v>
      </c>
      <c r="T405" s="203" t="s">
        <v>48</v>
      </c>
      <c r="U405" s="183" t="str">
        <f t="shared" si="77"/>
        <v>13 Hrs</v>
      </c>
    </row>
    <row r="406" spans="3:21" s="172" customFormat="1" ht="20.25" customHeight="1">
      <c r="C406" s="185"/>
      <c r="D406" s="190">
        <f t="shared" si="86"/>
        <v>406</v>
      </c>
      <c r="E406" s="194" t="s">
        <v>397</v>
      </c>
      <c r="F406" s="198">
        <f t="shared" si="78"/>
        <v>405</v>
      </c>
      <c r="G406" s="193" t="s">
        <v>156</v>
      </c>
      <c r="H406" s="193"/>
      <c r="I406" s="211">
        <v>12</v>
      </c>
      <c r="J406" s="195" t="s">
        <v>398</v>
      </c>
      <c r="K406" s="221">
        <v>1</v>
      </c>
      <c r="L406" s="195" t="s">
        <v>81</v>
      </c>
      <c r="M406" s="222">
        <f>(300*16+1536*3.142*360^-1*120*2)*2*0.001</f>
        <v>16.034815999999999</v>
      </c>
      <c r="N406" s="195" t="s">
        <v>249</v>
      </c>
      <c r="O406" s="233">
        <f>VLOOKUP(I406,BM!$B$3:$Y$62,22,FALSE)</f>
        <v>1.6</v>
      </c>
      <c r="P406" s="195" t="s">
        <v>162</v>
      </c>
      <c r="Q406" s="227">
        <f t="shared" si="76"/>
        <v>25.655705600000001</v>
      </c>
      <c r="R406" s="226">
        <v>1</v>
      </c>
      <c r="S406" s="227">
        <f t="shared" si="79"/>
        <v>26.66</v>
      </c>
      <c r="T406" s="203" t="s">
        <v>48</v>
      </c>
      <c r="U406" s="183" t="str">
        <f t="shared" si="77"/>
        <v>26.66 Hrs</v>
      </c>
    </row>
    <row r="407" spans="3:21" s="172" customFormat="1" ht="20.25" customHeight="1">
      <c r="C407" s="185"/>
      <c r="D407" s="190">
        <f t="shared" si="86"/>
        <v>407</v>
      </c>
      <c r="E407" s="194" t="s">
        <v>399</v>
      </c>
      <c r="F407" s="198">
        <f t="shared" si="78"/>
        <v>406</v>
      </c>
      <c r="G407" s="193" t="s">
        <v>149</v>
      </c>
      <c r="H407" s="193"/>
      <c r="I407" s="195"/>
      <c r="J407" s="195"/>
      <c r="K407" s="221">
        <v>1</v>
      </c>
      <c r="L407" s="195" t="s">
        <v>39</v>
      </c>
      <c r="M407" s="204">
        <v>1</v>
      </c>
      <c r="N407" s="195" t="s">
        <v>81</v>
      </c>
      <c r="O407" s="205">
        <v>8</v>
      </c>
      <c r="P407" s="195" t="s">
        <v>162</v>
      </c>
      <c r="Q407" s="227">
        <f t="shared" si="76"/>
        <v>8</v>
      </c>
      <c r="R407" s="226">
        <v>1</v>
      </c>
      <c r="S407" s="227">
        <f t="shared" si="79"/>
        <v>9</v>
      </c>
      <c r="T407" s="203" t="s">
        <v>48</v>
      </c>
      <c r="U407" s="183" t="str">
        <f t="shared" si="77"/>
        <v>9 Hrs</v>
      </c>
    </row>
    <row r="408" spans="3:21" s="172" customFormat="1" ht="20.25" customHeight="1">
      <c r="C408" s="185">
        <f>D408</f>
        <v>408</v>
      </c>
      <c r="D408" s="190">
        <f t="shared" si="86"/>
        <v>408</v>
      </c>
      <c r="E408" s="196" t="s">
        <v>400</v>
      </c>
      <c r="F408" s="197">
        <f>D401</f>
        <v>401</v>
      </c>
      <c r="G408" s="193"/>
      <c r="H408" s="193"/>
      <c r="I408" s="195"/>
      <c r="J408" s="195"/>
      <c r="K408" s="221"/>
      <c r="L408" s="195"/>
      <c r="M408" s="204"/>
      <c r="N408" s="195"/>
      <c r="O408" s="205"/>
      <c r="P408" s="195"/>
      <c r="Q408" s="227"/>
      <c r="R408" s="226"/>
      <c r="S408" s="227"/>
      <c r="T408" s="203"/>
      <c r="U408" s="183"/>
    </row>
    <row r="409" spans="3:21" s="172" customFormat="1" ht="20.25" customHeight="1">
      <c r="C409" s="185"/>
      <c r="D409" s="190">
        <f t="shared" si="86"/>
        <v>409</v>
      </c>
      <c r="E409" s="194" t="s">
        <v>401</v>
      </c>
      <c r="F409" s="198"/>
      <c r="G409" s="193" t="s">
        <v>402</v>
      </c>
      <c r="H409" s="193"/>
      <c r="I409" s="195"/>
      <c r="J409" s="195"/>
      <c r="K409" s="221">
        <v>1</v>
      </c>
      <c r="L409" s="195" t="s">
        <v>39</v>
      </c>
      <c r="M409" s="204">
        <v>1</v>
      </c>
      <c r="N409" s="195" t="s">
        <v>81</v>
      </c>
      <c r="O409" s="205">
        <v>4</v>
      </c>
      <c r="P409" s="195" t="s">
        <v>162</v>
      </c>
      <c r="Q409" s="227">
        <f t="shared" si="76"/>
        <v>4</v>
      </c>
      <c r="R409" s="226">
        <v>1</v>
      </c>
      <c r="S409" s="227">
        <f t="shared" si="79"/>
        <v>5</v>
      </c>
      <c r="T409" s="203" t="s">
        <v>48</v>
      </c>
      <c r="U409" s="183" t="str">
        <f t="shared" si="77"/>
        <v>5 Hrs</v>
      </c>
    </row>
    <row r="410" spans="3:21" s="172" customFormat="1" ht="20.25" customHeight="1">
      <c r="C410" s="185"/>
      <c r="D410" s="190">
        <f t="shared" si="86"/>
        <v>410</v>
      </c>
      <c r="E410" s="194" t="s">
        <v>403</v>
      </c>
      <c r="F410" s="198">
        <f t="shared" si="78"/>
        <v>409</v>
      </c>
      <c r="G410" s="193" t="s">
        <v>172</v>
      </c>
      <c r="H410" s="193"/>
      <c r="I410" s="195"/>
      <c r="J410" s="195"/>
      <c r="K410" s="221">
        <v>1</v>
      </c>
      <c r="L410" s="195" t="s">
        <v>39</v>
      </c>
      <c r="M410" s="204">
        <v>1</v>
      </c>
      <c r="N410" s="195" t="s">
        <v>81</v>
      </c>
      <c r="O410" s="205">
        <v>4</v>
      </c>
      <c r="P410" s="195" t="s">
        <v>162</v>
      </c>
      <c r="Q410" s="227">
        <f t="shared" si="76"/>
        <v>4</v>
      </c>
      <c r="R410" s="226">
        <v>1</v>
      </c>
      <c r="S410" s="227">
        <f t="shared" si="79"/>
        <v>5</v>
      </c>
      <c r="T410" s="203" t="s">
        <v>48</v>
      </c>
      <c r="U410" s="183" t="str">
        <f t="shared" si="77"/>
        <v>5 Hrs</v>
      </c>
    </row>
    <row r="411" spans="3:21" s="172" customFormat="1" ht="20.25" customHeight="1">
      <c r="C411" s="185"/>
      <c r="D411" s="190">
        <f t="shared" si="86"/>
        <v>411</v>
      </c>
      <c r="E411" s="194" t="s">
        <v>404</v>
      </c>
      <c r="F411" s="198">
        <f t="shared" si="78"/>
        <v>410</v>
      </c>
      <c r="G411" s="193" t="s">
        <v>115</v>
      </c>
      <c r="H411" s="193"/>
      <c r="I411" s="211">
        <v>12</v>
      </c>
      <c r="J411" s="195"/>
      <c r="K411" s="221">
        <v>6</v>
      </c>
      <c r="L411" s="195" t="s">
        <v>139</v>
      </c>
      <c r="M411" s="222">
        <f>430*12*0.001</f>
        <v>5.16</v>
      </c>
      <c r="N411" s="195" t="s">
        <v>249</v>
      </c>
      <c r="O411" s="233">
        <f>VLOOKUP(I411,BM!$B$3:$Y$62,22,FALSE)</f>
        <v>1.6</v>
      </c>
      <c r="P411" s="195" t="s">
        <v>162</v>
      </c>
      <c r="Q411" s="227">
        <f t="shared" si="76"/>
        <v>8.2560000000000002</v>
      </c>
      <c r="R411" s="226">
        <v>1</v>
      </c>
      <c r="S411" s="227">
        <f t="shared" si="79"/>
        <v>9.26</v>
      </c>
      <c r="T411" s="203" t="s">
        <v>48</v>
      </c>
      <c r="U411" s="183" t="str">
        <f t="shared" si="77"/>
        <v>9.26 Hrs</v>
      </c>
    </row>
    <row r="412" spans="3:21" s="172" customFormat="1" ht="20.25" customHeight="1">
      <c r="C412" s="185">
        <f>D412</f>
        <v>412</v>
      </c>
      <c r="D412" s="190">
        <f t="shared" si="86"/>
        <v>412</v>
      </c>
      <c r="E412" s="196" t="s">
        <v>405</v>
      </c>
      <c r="F412" s="236">
        <v>408</v>
      </c>
      <c r="G412" s="193"/>
      <c r="H412" s="193"/>
      <c r="I412" s="195"/>
      <c r="J412" s="195"/>
      <c r="K412" s="221"/>
      <c r="L412" s="195"/>
      <c r="M412" s="204"/>
      <c r="N412" s="195"/>
      <c r="O412" s="205"/>
      <c r="P412" s="195"/>
      <c r="Q412" s="227"/>
      <c r="R412" s="226"/>
      <c r="S412" s="227"/>
      <c r="T412" s="203"/>
      <c r="U412" s="183"/>
    </row>
    <row r="413" spans="3:21" s="172" customFormat="1" ht="20.25" customHeight="1">
      <c r="C413" s="185"/>
      <c r="D413" s="190">
        <f t="shared" si="86"/>
        <v>413</v>
      </c>
      <c r="E413" s="194" t="s">
        <v>406</v>
      </c>
      <c r="F413" s="198">
        <f t="shared" ref="F413:F474" si="89">D412</f>
        <v>412</v>
      </c>
      <c r="G413" s="193" t="s">
        <v>44</v>
      </c>
      <c r="H413" s="193"/>
      <c r="I413" s="211">
        <v>18</v>
      </c>
      <c r="J413" s="221" t="s">
        <v>407</v>
      </c>
      <c r="K413" s="221">
        <v>1</v>
      </c>
      <c r="L413" s="195" t="s">
        <v>39</v>
      </c>
      <c r="M413" s="204">
        <v>1</v>
      </c>
      <c r="N413" s="195"/>
      <c r="O413" s="205">
        <v>12</v>
      </c>
      <c r="P413" s="195" t="s">
        <v>162</v>
      </c>
      <c r="Q413" s="227">
        <f t="shared" ref="Q413:Q474" si="90">M413*O413</f>
        <v>12</v>
      </c>
      <c r="R413" s="226">
        <v>1</v>
      </c>
      <c r="S413" s="227">
        <f t="shared" ref="S413:S476" si="91">ROUND(Q413+R413,2)</f>
        <v>13</v>
      </c>
      <c r="T413" s="203" t="s">
        <v>48</v>
      </c>
      <c r="U413" s="183" t="str">
        <f t="shared" ref="U413:U474" si="92">CONCATENATE(S413," ",T413)</f>
        <v>13 Hrs</v>
      </c>
    </row>
    <row r="414" spans="3:21" s="172" customFormat="1" ht="20.25" customHeight="1">
      <c r="C414" s="185"/>
      <c r="D414" s="190">
        <f t="shared" si="86"/>
        <v>414</v>
      </c>
      <c r="E414" s="194" t="s">
        <v>64</v>
      </c>
      <c r="F414" s="198">
        <f t="shared" si="89"/>
        <v>413</v>
      </c>
      <c r="G414" s="193" t="s">
        <v>44</v>
      </c>
      <c r="H414" s="193"/>
      <c r="I414" s="211">
        <v>18</v>
      </c>
      <c r="J414" s="212" t="str">
        <f>J413</f>
        <v>6130 lg</v>
      </c>
      <c r="K414" s="212">
        <f>K413</f>
        <v>1</v>
      </c>
      <c r="L414" s="198" t="str">
        <f>L413</f>
        <v>No</v>
      </c>
      <c r="M414" s="222">
        <f>M413</f>
        <v>1</v>
      </c>
      <c r="N414" s="195"/>
      <c r="O414" s="205">
        <v>1</v>
      </c>
      <c r="P414" s="195" t="s">
        <v>41</v>
      </c>
      <c r="Q414" s="227">
        <f t="shared" si="90"/>
        <v>1</v>
      </c>
      <c r="R414" s="226"/>
      <c r="S414" s="227">
        <f t="shared" si="91"/>
        <v>1</v>
      </c>
      <c r="T414" s="203" t="s">
        <v>42</v>
      </c>
      <c r="U414" s="183" t="str">
        <f t="shared" si="92"/>
        <v>1 Days</v>
      </c>
    </row>
    <row r="415" spans="3:21" s="172" customFormat="1" ht="20.25" customHeight="1">
      <c r="C415" s="185">
        <f t="shared" ref="C415:C416" si="93">D415</f>
        <v>415</v>
      </c>
      <c r="D415" s="190">
        <f t="shared" si="86"/>
        <v>415</v>
      </c>
      <c r="E415" s="234" t="s">
        <v>408</v>
      </c>
      <c r="F415" s="197"/>
      <c r="G415" s="193"/>
      <c r="H415" s="193"/>
      <c r="I415" s="195"/>
      <c r="J415" s="195"/>
      <c r="K415" s="221"/>
      <c r="L415" s="195"/>
      <c r="M415" s="204"/>
      <c r="N415" s="195"/>
      <c r="O415" s="205"/>
      <c r="P415" s="195"/>
      <c r="Q415" s="227"/>
      <c r="R415" s="226"/>
      <c r="S415" s="227"/>
      <c r="T415" s="203"/>
      <c r="U415" s="183"/>
    </row>
    <row r="416" spans="3:21" s="172" customFormat="1" ht="20.25" customHeight="1">
      <c r="C416" s="185">
        <f t="shared" si="93"/>
        <v>416</v>
      </c>
      <c r="D416" s="190">
        <f t="shared" si="86"/>
        <v>416</v>
      </c>
      <c r="E416" s="196" t="s">
        <v>409</v>
      </c>
      <c r="F416" s="197">
        <f>D5</f>
        <v>5</v>
      </c>
      <c r="G416" s="193"/>
      <c r="H416" s="193"/>
      <c r="I416" s="195"/>
      <c r="J416" s="195"/>
      <c r="K416" s="221"/>
      <c r="L416" s="195"/>
      <c r="M416" s="204"/>
      <c r="N416" s="195"/>
      <c r="O416" s="205"/>
      <c r="P416" s="195"/>
      <c r="Q416" s="227"/>
      <c r="R416" s="226"/>
      <c r="S416" s="227"/>
      <c r="T416" s="203"/>
      <c r="U416" s="183"/>
    </row>
    <row r="417" spans="3:21" s="172" customFormat="1" ht="20.25" customHeight="1">
      <c r="C417" s="185"/>
      <c r="D417" s="190">
        <f t="shared" si="86"/>
        <v>417</v>
      </c>
      <c r="E417" s="194" t="s">
        <v>410</v>
      </c>
      <c r="F417" s="198">
        <f t="shared" si="89"/>
        <v>416</v>
      </c>
      <c r="G417" s="193" t="s">
        <v>37</v>
      </c>
      <c r="H417" s="193"/>
      <c r="I417" s="195"/>
      <c r="J417" s="195"/>
      <c r="K417" s="221">
        <v>1</v>
      </c>
      <c r="L417" s="195" t="s">
        <v>39</v>
      </c>
      <c r="M417" s="204">
        <v>1</v>
      </c>
      <c r="N417" s="195" t="s">
        <v>39</v>
      </c>
      <c r="O417" s="205">
        <v>4</v>
      </c>
      <c r="P417" s="195" t="s">
        <v>41</v>
      </c>
      <c r="Q417" s="227">
        <f t="shared" si="90"/>
        <v>4</v>
      </c>
      <c r="R417" s="226"/>
      <c r="S417" s="227">
        <f t="shared" si="91"/>
        <v>4</v>
      </c>
      <c r="T417" s="203" t="s">
        <v>42</v>
      </c>
      <c r="U417" s="183" t="str">
        <f t="shared" si="92"/>
        <v>4 Days</v>
      </c>
    </row>
    <row r="418" spans="3:21" s="172" customFormat="1" ht="20.25" customHeight="1">
      <c r="C418" s="185"/>
      <c r="D418" s="190">
        <f t="shared" si="86"/>
        <v>418</v>
      </c>
      <c r="E418" s="194" t="s">
        <v>411</v>
      </c>
      <c r="F418" s="198">
        <f t="shared" si="89"/>
        <v>417</v>
      </c>
      <c r="G418" s="193" t="s">
        <v>201</v>
      </c>
      <c r="H418" s="193"/>
      <c r="I418" s="211">
        <v>18</v>
      </c>
      <c r="J418" s="221" t="s">
        <v>412</v>
      </c>
      <c r="K418" s="221">
        <v>1</v>
      </c>
      <c r="L418" s="195" t="s">
        <v>81</v>
      </c>
      <c r="M418" s="214">
        <f t="shared" ref="M418:M422" si="94">LEFT(J418,SEARCH(" ",J418,1)-1)*K418*0.001</f>
        <v>0.83100000000000007</v>
      </c>
      <c r="N418" s="195" t="s">
        <v>139</v>
      </c>
      <c r="O418" s="233">
        <f>VLOOKUP(I418,BM!$B$3:$Y$62,2,FALSE)</f>
        <v>0.1</v>
      </c>
      <c r="P418" s="195" t="s">
        <v>112</v>
      </c>
      <c r="Q418" s="227">
        <f t="shared" si="90"/>
        <v>8.3100000000000007E-2</v>
      </c>
      <c r="R418" s="226">
        <v>1</v>
      </c>
      <c r="S418" s="227">
        <f t="shared" si="91"/>
        <v>1.08</v>
      </c>
      <c r="T418" s="203" t="s">
        <v>48</v>
      </c>
      <c r="U418" s="183" t="str">
        <f t="shared" si="92"/>
        <v>1.08 Hrs</v>
      </c>
    </row>
    <row r="419" spans="3:21" s="172" customFormat="1" ht="20.25" customHeight="1">
      <c r="C419" s="185"/>
      <c r="D419" s="190">
        <f t="shared" si="86"/>
        <v>419</v>
      </c>
      <c r="E419" s="194" t="s">
        <v>413</v>
      </c>
      <c r="F419" s="198">
        <f t="shared" si="89"/>
        <v>418</v>
      </c>
      <c r="G419" s="193" t="s">
        <v>52</v>
      </c>
      <c r="H419" s="193"/>
      <c r="I419" s="220">
        <f t="shared" ref="I419:J422" si="95">I418</f>
        <v>18</v>
      </c>
      <c r="J419" s="198" t="str">
        <f>J418</f>
        <v>831 mm</v>
      </c>
      <c r="K419" s="221">
        <v>1</v>
      </c>
      <c r="L419" s="195" t="s">
        <v>81</v>
      </c>
      <c r="M419" s="214">
        <f t="shared" si="94"/>
        <v>0.83100000000000007</v>
      </c>
      <c r="N419" s="195" t="s">
        <v>139</v>
      </c>
      <c r="O419" s="233">
        <f>VLOOKUP(I419,BM!$B$3:$Y$62,3,FALSE)</f>
        <v>0.25</v>
      </c>
      <c r="P419" s="195" t="s">
        <v>112</v>
      </c>
      <c r="Q419" s="227">
        <f t="shared" si="90"/>
        <v>0.20775000000000002</v>
      </c>
      <c r="R419" s="226">
        <v>1</v>
      </c>
      <c r="S419" s="227">
        <f t="shared" si="91"/>
        <v>1.21</v>
      </c>
      <c r="T419" s="203" t="s">
        <v>48</v>
      </c>
      <c r="U419" s="183" t="str">
        <f t="shared" si="92"/>
        <v>1.21 Hrs</v>
      </c>
    </row>
    <row r="420" spans="3:21" s="172" customFormat="1" ht="20.25" customHeight="1">
      <c r="C420" s="185"/>
      <c r="D420" s="190">
        <f t="shared" si="86"/>
        <v>420</v>
      </c>
      <c r="E420" s="194" t="s">
        <v>414</v>
      </c>
      <c r="F420" s="198">
        <f t="shared" si="89"/>
        <v>419</v>
      </c>
      <c r="G420" s="193" t="s">
        <v>61</v>
      </c>
      <c r="H420" s="193"/>
      <c r="I420" s="220">
        <f t="shared" si="95"/>
        <v>18</v>
      </c>
      <c r="J420" s="198" t="str">
        <f t="shared" si="95"/>
        <v>831 mm</v>
      </c>
      <c r="K420" s="221">
        <v>1</v>
      </c>
      <c r="L420" s="195" t="s">
        <v>81</v>
      </c>
      <c r="M420" s="214">
        <f t="shared" si="94"/>
        <v>0.83100000000000007</v>
      </c>
      <c r="N420" s="195" t="s">
        <v>139</v>
      </c>
      <c r="O420" s="233">
        <f>VLOOKUP(I420,BM!$B$3:$Y$62,4,FALSE)</f>
        <v>0.15</v>
      </c>
      <c r="P420" s="195" t="s">
        <v>112</v>
      </c>
      <c r="Q420" s="227">
        <f t="shared" si="90"/>
        <v>0.12465000000000001</v>
      </c>
      <c r="R420" s="226">
        <v>1</v>
      </c>
      <c r="S420" s="227">
        <f t="shared" si="91"/>
        <v>1.1200000000000001</v>
      </c>
      <c r="T420" s="203" t="s">
        <v>48</v>
      </c>
      <c r="U420" s="183" t="str">
        <f t="shared" si="92"/>
        <v>1.12 Hrs</v>
      </c>
    </row>
    <row r="421" spans="3:21" s="172" customFormat="1" ht="20.25" customHeight="1">
      <c r="C421" s="185"/>
      <c r="D421" s="190">
        <f t="shared" si="86"/>
        <v>421</v>
      </c>
      <c r="E421" s="194" t="s">
        <v>415</v>
      </c>
      <c r="F421" s="198">
        <f t="shared" si="89"/>
        <v>420</v>
      </c>
      <c r="G421" s="193" t="s">
        <v>224</v>
      </c>
      <c r="H421" s="193"/>
      <c r="I421" s="220">
        <f t="shared" si="95"/>
        <v>18</v>
      </c>
      <c r="J421" s="198" t="str">
        <f t="shared" si="95"/>
        <v>831 mm</v>
      </c>
      <c r="K421" s="221">
        <v>1</v>
      </c>
      <c r="L421" s="195" t="s">
        <v>81</v>
      </c>
      <c r="M421" s="214">
        <f t="shared" si="94"/>
        <v>0.83100000000000007</v>
      </c>
      <c r="N421" s="195" t="s">
        <v>139</v>
      </c>
      <c r="O421" s="233">
        <f>VLOOKUP(I421,BM!$B$3:$Y$62,5,FALSE)</f>
        <v>0.5</v>
      </c>
      <c r="P421" s="195" t="s">
        <v>112</v>
      </c>
      <c r="Q421" s="227">
        <f t="shared" si="90"/>
        <v>0.41550000000000004</v>
      </c>
      <c r="R421" s="226">
        <v>1</v>
      </c>
      <c r="S421" s="227">
        <f t="shared" si="91"/>
        <v>1.42</v>
      </c>
      <c r="T421" s="203" t="s">
        <v>48</v>
      </c>
      <c r="U421" s="183" t="str">
        <f t="shared" si="92"/>
        <v>1.42 Hrs</v>
      </c>
    </row>
    <row r="422" spans="3:21" s="172" customFormat="1" ht="20.25" customHeight="1">
      <c r="C422" s="185"/>
      <c r="D422" s="190">
        <f t="shared" si="86"/>
        <v>422</v>
      </c>
      <c r="E422" s="194" t="s">
        <v>416</v>
      </c>
      <c r="F422" s="198">
        <f t="shared" si="89"/>
        <v>421</v>
      </c>
      <c r="G422" s="193" t="s">
        <v>61</v>
      </c>
      <c r="H422" s="193"/>
      <c r="I422" s="220">
        <f t="shared" si="95"/>
        <v>18</v>
      </c>
      <c r="J422" s="198" t="str">
        <f t="shared" si="95"/>
        <v>831 mm</v>
      </c>
      <c r="K422" s="221">
        <v>1</v>
      </c>
      <c r="L422" s="195" t="s">
        <v>81</v>
      </c>
      <c r="M422" s="214">
        <f t="shared" si="94"/>
        <v>0.83100000000000007</v>
      </c>
      <c r="N422" s="195" t="s">
        <v>139</v>
      </c>
      <c r="O422" s="233">
        <f>VLOOKUP(I422,BM!$B$3:$Y$62,6,FALSE)</f>
        <v>1</v>
      </c>
      <c r="P422" s="195" t="s">
        <v>112</v>
      </c>
      <c r="Q422" s="227">
        <f t="shared" si="90"/>
        <v>0.83100000000000007</v>
      </c>
      <c r="R422" s="226">
        <v>1</v>
      </c>
      <c r="S422" s="227">
        <f t="shared" si="91"/>
        <v>1.83</v>
      </c>
      <c r="T422" s="203" t="s">
        <v>48</v>
      </c>
      <c r="U422" s="183" t="str">
        <f t="shared" si="92"/>
        <v>1.83 Hrs</v>
      </c>
    </row>
    <row r="423" spans="3:21" s="172" customFormat="1" ht="20.25" customHeight="1">
      <c r="C423" s="185">
        <f>D423</f>
        <v>423</v>
      </c>
      <c r="D423" s="190">
        <f t="shared" si="86"/>
        <v>423</v>
      </c>
      <c r="E423" s="196" t="s">
        <v>417</v>
      </c>
      <c r="F423" s="197">
        <f>D416</f>
        <v>416</v>
      </c>
      <c r="G423" s="193"/>
      <c r="H423" s="193"/>
      <c r="I423" s="195"/>
      <c r="J423" s="195"/>
      <c r="K423" s="221"/>
      <c r="L423" s="195"/>
      <c r="M423" s="204"/>
      <c r="N423" s="195"/>
      <c r="O423" s="205"/>
      <c r="P423" s="195"/>
      <c r="Q423" s="227"/>
      <c r="R423" s="226"/>
      <c r="S423" s="227"/>
      <c r="T423" s="203"/>
      <c r="U423" s="183"/>
    </row>
    <row r="424" spans="3:21" s="172" customFormat="1" ht="20.25" customHeight="1">
      <c r="C424" s="185"/>
      <c r="D424" s="190">
        <f t="shared" si="86"/>
        <v>424</v>
      </c>
      <c r="E424" s="194" t="s">
        <v>418</v>
      </c>
      <c r="F424" s="198"/>
      <c r="G424" s="193" t="s">
        <v>286</v>
      </c>
      <c r="H424" s="193"/>
      <c r="I424" s="220">
        <f>I422</f>
        <v>18</v>
      </c>
      <c r="J424" s="198" t="str">
        <f>J422</f>
        <v>831 mm</v>
      </c>
      <c r="K424" s="221">
        <v>1</v>
      </c>
      <c r="L424" s="195" t="s">
        <v>81</v>
      </c>
      <c r="M424" s="204">
        <v>1</v>
      </c>
      <c r="N424" s="195" t="s">
        <v>139</v>
      </c>
      <c r="O424" s="205">
        <v>3</v>
      </c>
      <c r="P424" s="195" t="s">
        <v>112</v>
      </c>
      <c r="Q424" s="227">
        <f t="shared" si="90"/>
        <v>3</v>
      </c>
      <c r="R424" s="226">
        <v>1</v>
      </c>
      <c r="S424" s="227">
        <f t="shared" si="91"/>
        <v>4</v>
      </c>
      <c r="T424" s="203" t="s">
        <v>48</v>
      </c>
      <c r="U424" s="183" t="str">
        <f t="shared" si="92"/>
        <v>4 Hrs</v>
      </c>
    </row>
    <row r="425" spans="3:21" s="172" customFormat="1" ht="20.25" customHeight="1">
      <c r="C425" s="185"/>
      <c r="D425" s="190">
        <f t="shared" si="86"/>
        <v>425</v>
      </c>
      <c r="E425" s="194" t="s">
        <v>419</v>
      </c>
      <c r="F425" s="198">
        <f t="shared" si="89"/>
        <v>424</v>
      </c>
      <c r="G425" s="193" t="s">
        <v>420</v>
      </c>
      <c r="H425" s="193"/>
      <c r="I425" s="220">
        <f t="shared" ref="I425:J427" si="96">I424</f>
        <v>18</v>
      </c>
      <c r="J425" s="198" t="str">
        <f t="shared" si="96"/>
        <v>831 mm</v>
      </c>
      <c r="K425" s="221">
        <v>1</v>
      </c>
      <c r="L425" s="195" t="s">
        <v>81</v>
      </c>
      <c r="M425" s="214">
        <f>LEFT(J425,SEARCH(" ",J425,1)-1)*K425*0.001*2</f>
        <v>1.6620000000000001</v>
      </c>
      <c r="N425" s="195" t="s">
        <v>139</v>
      </c>
      <c r="O425" s="233">
        <f>VLOOKUP(I425,BM!$B$3:$Y$62,8,FALSE)</f>
        <v>0.3</v>
      </c>
      <c r="P425" s="195" t="s">
        <v>112</v>
      </c>
      <c r="Q425" s="227">
        <f t="shared" si="90"/>
        <v>0.49860000000000004</v>
      </c>
      <c r="R425" s="226">
        <v>1</v>
      </c>
      <c r="S425" s="227">
        <f t="shared" si="91"/>
        <v>1.5</v>
      </c>
      <c r="T425" s="203" t="s">
        <v>48</v>
      </c>
      <c r="U425" s="183" t="str">
        <f t="shared" si="92"/>
        <v>1.5 Hrs</v>
      </c>
    </row>
    <row r="426" spans="3:21" s="172" customFormat="1" ht="20.25" customHeight="1">
      <c r="C426" s="185"/>
      <c r="D426" s="190">
        <f t="shared" si="86"/>
        <v>426</v>
      </c>
      <c r="E426" s="194" t="s">
        <v>421</v>
      </c>
      <c r="F426" s="198">
        <f t="shared" si="89"/>
        <v>425</v>
      </c>
      <c r="G426" s="193" t="s">
        <v>348</v>
      </c>
      <c r="H426" s="193"/>
      <c r="I426" s="220">
        <f t="shared" si="96"/>
        <v>18</v>
      </c>
      <c r="J426" s="198" t="str">
        <f t="shared" si="96"/>
        <v>831 mm</v>
      </c>
      <c r="K426" s="221">
        <v>1</v>
      </c>
      <c r="L426" s="195" t="s">
        <v>81</v>
      </c>
      <c r="M426" s="214">
        <f>LEFT(J426,SEARCH(" ",J426,1)-1)*K426*0.001*2</f>
        <v>1.6620000000000001</v>
      </c>
      <c r="N426" s="195" t="s">
        <v>139</v>
      </c>
      <c r="O426" s="233">
        <f>VLOOKUP(I426,BM!$B$3:$Y$62,9,FALSE)</f>
        <v>1</v>
      </c>
      <c r="P426" s="195" t="s">
        <v>112</v>
      </c>
      <c r="Q426" s="227">
        <f t="shared" si="90"/>
        <v>1.6620000000000001</v>
      </c>
      <c r="R426" s="226">
        <v>1</v>
      </c>
      <c r="S426" s="227">
        <f t="shared" si="91"/>
        <v>2.66</v>
      </c>
      <c r="T426" s="203" t="s">
        <v>48</v>
      </c>
      <c r="U426" s="183" t="str">
        <f t="shared" si="92"/>
        <v>2.66 Hrs</v>
      </c>
    </row>
    <row r="427" spans="3:21" s="172" customFormat="1" ht="20.25" customHeight="1">
      <c r="C427" s="185"/>
      <c r="D427" s="190">
        <f t="shared" si="86"/>
        <v>427</v>
      </c>
      <c r="E427" s="194" t="s">
        <v>422</v>
      </c>
      <c r="F427" s="198">
        <f t="shared" si="89"/>
        <v>426</v>
      </c>
      <c r="G427" s="193" t="s">
        <v>286</v>
      </c>
      <c r="H427" s="193"/>
      <c r="I427" s="220">
        <f t="shared" si="96"/>
        <v>18</v>
      </c>
      <c r="J427" s="198" t="str">
        <f t="shared" si="96"/>
        <v>831 mm</v>
      </c>
      <c r="K427" s="221">
        <v>1</v>
      </c>
      <c r="L427" s="195" t="s">
        <v>81</v>
      </c>
      <c r="M427" s="214">
        <v>1</v>
      </c>
      <c r="N427" s="195" t="s">
        <v>39</v>
      </c>
      <c r="O427" s="205">
        <v>3</v>
      </c>
      <c r="P427" s="195" t="s">
        <v>112</v>
      </c>
      <c r="Q427" s="227">
        <f t="shared" si="90"/>
        <v>3</v>
      </c>
      <c r="R427" s="226">
        <v>1</v>
      </c>
      <c r="S427" s="227">
        <f t="shared" si="91"/>
        <v>4</v>
      </c>
      <c r="T427" s="203" t="s">
        <v>48</v>
      </c>
      <c r="U427" s="183" t="str">
        <f t="shared" si="92"/>
        <v>4 Hrs</v>
      </c>
    </row>
    <row r="428" spans="3:21" s="172" customFormat="1" ht="20.25" customHeight="1">
      <c r="C428" s="185">
        <f>D428</f>
        <v>428</v>
      </c>
      <c r="D428" s="190">
        <f t="shared" si="86"/>
        <v>428</v>
      </c>
      <c r="E428" s="196" t="s">
        <v>423</v>
      </c>
      <c r="F428" s="197">
        <f>D423</f>
        <v>423</v>
      </c>
      <c r="G428" s="193"/>
      <c r="H428" s="193"/>
      <c r="I428" s="195"/>
      <c r="J428" s="195"/>
      <c r="K428" s="221"/>
      <c r="L428" s="195"/>
      <c r="M428" s="204"/>
      <c r="N428" s="195"/>
      <c r="O428" s="205"/>
      <c r="P428" s="195"/>
      <c r="Q428" s="227"/>
      <c r="R428" s="226"/>
      <c r="S428" s="227"/>
      <c r="T428" s="203"/>
      <c r="U428" s="183"/>
    </row>
    <row r="429" spans="3:21" s="172" customFormat="1" ht="20.25" customHeight="1">
      <c r="C429" s="185"/>
      <c r="D429" s="190">
        <f t="shared" si="86"/>
        <v>429</v>
      </c>
      <c r="E429" s="194" t="s">
        <v>424</v>
      </c>
      <c r="F429" s="198"/>
      <c r="G429" s="193" t="s">
        <v>348</v>
      </c>
      <c r="H429" s="193"/>
      <c r="I429" s="211">
        <v>18</v>
      </c>
      <c r="J429" s="198" t="str">
        <f>J427</f>
        <v>831 mm</v>
      </c>
      <c r="K429" s="221">
        <v>1</v>
      </c>
      <c r="L429" s="195" t="s">
        <v>81</v>
      </c>
      <c r="M429" s="214">
        <f>LEFT(J429,SEARCH(" ",J429,1)-1)*K429*0.001*2</f>
        <v>1.6620000000000001</v>
      </c>
      <c r="N429" s="195" t="s">
        <v>139</v>
      </c>
      <c r="O429" s="233">
        <f>VLOOKUP(I429,BM!$B$3:$Y$62,9,FALSE)</f>
        <v>1</v>
      </c>
      <c r="P429" s="195" t="s">
        <v>112</v>
      </c>
      <c r="Q429" s="227">
        <f t="shared" si="90"/>
        <v>1.6620000000000001</v>
      </c>
      <c r="R429" s="226">
        <v>1</v>
      </c>
      <c r="S429" s="227">
        <f t="shared" si="91"/>
        <v>2.66</v>
      </c>
      <c r="T429" s="203" t="s">
        <v>48</v>
      </c>
      <c r="U429" s="183" t="str">
        <f t="shared" si="92"/>
        <v>2.66 Hrs</v>
      </c>
    </row>
    <row r="430" spans="3:21" s="172" customFormat="1" ht="20.25" customHeight="1">
      <c r="C430" s="185"/>
      <c r="D430" s="190">
        <f t="shared" si="86"/>
        <v>430</v>
      </c>
      <c r="E430" s="194" t="s">
        <v>425</v>
      </c>
      <c r="F430" s="198">
        <f t="shared" si="89"/>
        <v>429</v>
      </c>
      <c r="G430" s="193" t="s">
        <v>111</v>
      </c>
      <c r="H430" s="193"/>
      <c r="I430" s="211">
        <v>18</v>
      </c>
      <c r="J430" s="198" t="str">
        <f>J429</f>
        <v>831 mm</v>
      </c>
      <c r="K430" s="221">
        <v>1</v>
      </c>
      <c r="L430" s="195" t="s">
        <v>81</v>
      </c>
      <c r="M430" s="214">
        <f>LEFT(J430,SEARCH(" ",J430,1)-1)*K430*0.001</f>
        <v>0.83100000000000007</v>
      </c>
      <c r="N430" s="195" t="s">
        <v>139</v>
      </c>
      <c r="O430" s="233">
        <f>VLOOKUP(I430,BM!$B$3:$Y$62,10,FALSE)</f>
        <v>1</v>
      </c>
      <c r="P430" s="195" t="s">
        <v>112</v>
      </c>
      <c r="Q430" s="227">
        <f t="shared" si="90"/>
        <v>0.83100000000000007</v>
      </c>
      <c r="R430" s="226">
        <v>1</v>
      </c>
      <c r="S430" s="227">
        <f t="shared" si="91"/>
        <v>1.83</v>
      </c>
      <c r="T430" s="203" t="s">
        <v>48</v>
      </c>
      <c r="U430" s="183" t="str">
        <f t="shared" si="92"/>
        <v>1.83 Hrs</v>
      </c>
    </row>
    <row r="431" spans="3:21" s="172" customFormat="1" ht="20.25" customHeight="1">
      <c r="C431" s="185">
        <f>D431</f>
        <v>431</v>
      </c>
      <c r="D431" s="190">
        <f t="shared" si="86"/>
        <v>431</v>
      </c>
      <c r="E431" s="196" t="s">
        <v>426</v>
      </c>
      <c r="F431" s="197">
        <f>D428</f>
        <v>428</v>
      </c>
      <c r="G431" s="193"/>
      <c r="H431" s="193"/>
      <c r="I431" s="195"/>
      <c r="J431" s="195"/>
      <c r="K431" s="221"/>
      <c r="L431" s="195"/>
      <c r="M431" s="204"/>
      <c r="N431" s="195"/>
      <c r="O431" s="205"/>
      <c r="P431" s="195"/>
      <c r="Q431" s="227"/>
      <c r="R431" s="226"/>
      <c r="S431" s="227"/>
      <c r="T431" s="203"/>
      <c r="U431" s="183"/>
    </row>
    <row r="432" spans="3:21" s="172" customFormat="1" ht="20.25" customHeight="1">
      <c r="C432" s="185"/>
      <c r="D432" s="190">
        <f t="shared" si="86"/>
        <v>432</v>
      </c>
      <c r="E432" s="194" t="s">
        <v>427</v>
      </c>
      <c r="F432" s="198"/>
      <c r="G432" s="193" t="s">
        <v>201</v>
      </c>
      <c r="H432" s="193"/>
      <c r="I432" s="211">
        <v>18</v>
      </c>
      <c r="J432" s="198" t="str">
        <f>J430</f>
        <v>831 mm</v>
      </c>
      <c r="K432" s="221">
        <v>1</v>
      </c>
      <c r="L432" s="195" t="s">
        <v>81</v>
      </c>
      <c r="M432" s="204">
        <v>1</v>
      </c>
      <c r="N432" s="195" t="s">
        <v>139</v>
      </c>
      <c r="O432" s="205">
        <v>1</v>
      </c>
      <c r="P432" s="195" t="s">
        <v>112</v>
      </c>
      <c r="Q432" s="227">
        <f t="shared" si="90"/>
        <v>1</v>
      </c>
      <c r="R432" s="226">
        <v>1</v>
      </c>
      <c r="S432" s="227">
        <f t="shared" si="91"/>
        <v>2</v>
      </c>
      <c r="T432" s="203" t="s">
        <v>48</v>
      </c>
      <c r="U432" s="183" t="str">
        <f t="shared" si="92"/>
        <v>2 Hrs</v>
      </c>
    </row>
    <row r="433" spans="3:21" s="172" customFormat="1" ht="20.25" customHeight="1">
      <c r="C433" s="185"/>
      <c r="D433" s="190">
        <f t="shared" si="86"/>
        <v>433</v>
      </c>
      <c r="E433" s="194" t="s">
        <v>428</v>
      </c>
      <c r="F433" s="198">
        <f t="shared" si="89"/>
        <v>432</v>
      </c>
      <c r="G433" s="193" t="s">
        <v>115</v>
      </c>
      <c r="H433" s="193"/>
      <c r="I433" s="211">
        <v>12</v>
      </c>
      <c r="J433" s="198" t="str">
        <f t="shared" ref="J433:J437" si="97">J432</f>
        <v>831 mm</v>
      </c>
      <c r="K433" s="221">
        <v>1</v>
      </c>
      <c r="L433" s="195" t="s">
        <v>81</v>
      </c>
      <c r="M433" s="214">
        <f t="shared" ref="M433:M436" si="98">LEFT(J433,SEARCH(" ",J433,1)-1)*K433*0.001</f>
        <v>0.83100000000000007</v>
      </c>
      <c r="N433" s="195" t="s">
        <v>139</v>
      </c>
      <c r="O433" s="233">
        <f>VLOOKUP(I433,BM!$B$3:$Y$62,12,FALSE)</f>
        <v>2.5</v>
      </c>
      <c r="P433" s="195" t="s">
        <v>112</v>
      </c>
      <c r="Q433" s="227">
        <f t="shared" si="90"/>
        <v>2.0775000000000001</v>
      </c>
      <c r="R433" s="226">
        <v>1</v>
      </c>
      <c r="S433" s="227">
        <f t="shared" si="91"/>
        <v>3.08</v>
      </c>
      <c r="T433" s="203" t="s">
        <v>48</v>
      </c>
      <c r="U433" s="183" t="str">
        <f t="shared" si="92"/>
        <v>3.08 Hrs</v>
      </c>
    </row>
    <row r="434" spans="3:21" s="172" customFormat="1" ht="20.25" customHeight="1">
      <c r="C434" s="185"/>
      <c r="D434" s="190">
        <f t="shared" si="86"/>
        <v>434</v>
      </c>
      <c r="E434" s="194" t="s">
        <v>429</v>
      </c>
      <c r="F434" s="198">
        <f t="shared" si="89"/>
        <v>433</v>
      </c>
      <c r="G434" s="193" t="s">
        <v>121</v>
      </c>
      <c r="H434" s="193"/>
      <c r="I434" s="211">
        <v>18</v>
      </c>
      <c r="J434" s="198" t="str">
        <f t="shared" si="97"/>
        <v>831 mm</v>
      </c>
      <c r="K434" s="221">
        <v>1</v>
      </c>
      <c r="L434" s="195" t="s">
        <v>81</v>
      </c>
      <c r="M434" s="214">
        <f t="shared" si="98"/>
        <v>0.83100000000000007</v>
      </c>
      <c r="N434" s="195" t="s">
        <v>139</v>
      </c>
      <c r="O434" s="233">
        <f>VLOOKUP(I434,BM!$B$3:$Y$62,18,FALSE)</f>
        <v>1</v>
      </c>
      <c r="P434" s="195" t="s">
        <v>112</v>
      </c>
      <c r="Q434" s="227">
        <f t="shared" si="90"/>
        <v>0.83100000000000007</v>
      </c>
      <c r="R434" s="226">
        <v>1</v>
      </c>
      <c r="S434" s="227">
        <f t="shared" si="91"/>
        <v>1.83</v>
      </c>
      <c r="T434" s="203" t="s">
        <v>48</v>
      </c>
      <c r="U434" s="183" t="str">
        <f t="shared" si="92"/>
        <v>1.83 Hrs</v>
      </c>
    </row>
    <row r="435" spans="3:21" s="172" customFormat="1" ht="20.25" customHeight="1">
      <c r="C435" s="185"/>
      <c r="D435" s="190">
        <f t="shared" si="86"/>
        <v>435</v>
      </c>
      <c r="E435" s="194" t="s">
        <v>430</v>
      </c>
      <c r="F435" s="198">
        <f t="shared" si="89"/>
        <v>434</v>
      </c>
      <c r="G435" s="193" t="s">
        <v>115</v>
      </c>
      <c r="H435" s="193"/>
      <c r="I435" s="211">
        <v>6</v>
      </c>
      <c r="J435" s="198" t="str">
        <f t="shared" si="97"/>
        <v>831 mm</v>
      </c>
      <c r="K435" s="221">
        <v>1</v>
      </c>
      <c r="L435" s="195" t="s">
        <v>81</v>
      </c>
      <c r="M435" s="214">
        <f t="shared" si="98"/>
        <v>0.83100000000000007</v>
      </c>
      <c r="N435" s="195" t="s">
        <v>139</v>
      </c>
      <c r="O435" s="233">
        <f>VLOOKUP(I435,BM!$B$3:$Y$62,12,FALSE)</f>
        <v>0.9</v>
      </c>
      <c r="P435" s="195" t="s">
        <v>112</v>
      </c>
      <c r="Q435" s="227">
        <f t="shared" si="90"/>
        <v>0.74790000000000012</v>
      </c>
      <c r="R435" s="226">
        <v>1</v>
      </c>
      <c r="S435" s="227">
        <f t="shared" si="91"/>
        <v>1.75</v>
      </c>
      <c r="T435" s="203" t="s">
        <v>48</v>
      </c>
      <c r="U435" s="183" t="str">
        <f t="shared" si="92"/>
        <v>1.75 Hrs</v>
      </c>
    </row>
    <row r="436" spans="3:21" s="172" customFormat="1" ht="20.25" customHeight="1">
      <c r="C436" s="185"/>
      <c r="D436" s="190">
        <f t="shared" si="86"/>
        <v>436</v>
      </c>
      <c r="E436" s="194" t="s">
        <v>431</v>
      </c>
      <c r="F436" s="198">
        <f t="shared" si="89"/>
        <v>435</v>
      </c>
      <c r="G436" s="193" t="s">
        <v>61</v>
      </c>
      <c r="H436" s="193"/>
      <c r="I436" s="211">
        <v>6</v>
      </c>
      <c r="J436" s="198" t="str">
        <f t="shared" si="97"/>
        <v>831 mm</v>
      </c>
      <c r="K436" s="221">
        <v>1</v>
      </c>
      <c r="L436" s="195" t="s">
        <v>81</v>
      </c>
      <c r="M436" s="214">
        <f t="shared" si="98"/>
        <v>0.83100000000000007</v>
      </c>
      <c r="N436" s="195" t="s">
        <v>139</v>
      </c>
      <c r="O436" s="233">
        <f>VLOOKUP(I436,BM!$B$3:$Y$62,20,FALSE)</f>
        <v>0.5</v>
      </c>
      <c r="P436" s="195" t="s">
        <v>112</v>
      </c>
      <c r="Q436" s="227">
        <f t="shared" si="90"/>
        <v>0.41550000000000004</v>
      </c>
      <c r="R436" s="226">
        <v>1</v>
      </c>
      <c r="S436" s="227">
        <f t="shared" si="91"/>
        <v>1.42</v>
      </c>
      <c r="T436" s="203" t="s">
        <v>48</v>
      </c>
      <c r="U436" s="183" t="str">
        <f t="shared" si="92"/>
        <v>1.42 Hrs</v>
      </c>
    </row>
    <row r="437" spans="3:21" s="172" customFormat="1" ht="20.25" customHeight="1">
      <c r="C437" s="185"/>
      <c r="D437" s="190">
        <f t="shared" si="86"/>
        <v>437</v>
      </c>
      <c r="E437" s="194" t="s">
        <v>432</v>
      </c>
      <c r="F437" s="198">
        <f t="shared" si="89"/>
        <v>436</v>
      </c>
      <c r="G437" s="193" t="s">
        <v>286</v>
      </c>
      <c r="H437" s="193"/>
      <c r="I437" s="211">
        <v>18</v>
      </c>
      <c r="J437" s="198" t="str">
        <f t="shared" si="97"/>
        <v>831 mm</v>
      </c>
      <c r="K437" s="221">
        <v>1</v>
      </c>
      <c r="L437" s="195" t="s">
        <v>81</v>
      </c>
      <c r="M437" s="204">
        <v>1</v>
      </c>
      <c r="N437" s="195" t="s">
        <v>81</v>
      </c>
      <c r="O437" s="205">
        <v>3</v>
      </c>
      <c r="P437" s="195" t="s">
        <v>112</v>
      </c>
      <c r="Q437" s="227">
        <f t="shared" si="90"/>
        <v>3</v>
      </c>
      <c r="R437" s="226">
        <v>1</v>
      </c>
      <c r="S437" s="227">
        <f t="shared" si="91"/>
        <v>4</v>
      </c>
      <c r="T437" s="203" t="s">
        <v>48</v>
      </c>
      <c r="U437" s="183" t="str">
        <f t="shared" si="92"/>
        <v>4 Hrs</v>
      </c>
    </row>
    <row r="438" spans="3:21" s="172" customFormat="1" ht="20.25" customHeight="1">
      <c r="C438" s="185">
        <f>D438</f>
        <v>438</v>
      </c>
      <c r="D438" s="190">
        <f t="shared" si="86"/>
        <v>438</v>
      </c>
      <c r="E438" s="196" t="s">
        <v>433</v>
      </c>
      <c r="F438" s="197">
        <f>D431</f>
        <v>431</v>
      </c>
      <c r="G438" s="193"/>
      <c r="H438" s="193"/>
      <c r="I438" s="195"/>
      <c r="J438" s="195"/>
      <c r="K438" s="221"/>
      <c r="L438" s="195"/>
      <c r="M438" s="204"/>
      <c r="N438" s="195"/>
      <c r="O438" s="205"/>
      <c r="P438" s="195"/>
      <c r="Q438" s="227"/>
      <c r="R438" s="226"/>
      <c r="S438" s="227"/>
      <c r="T438" s="203"/>
      <c r="U438" s="183"/>
    </row>
    <row r="439" spans="3:21" s="172" customFormat="1" ht="20.25" customHeight="1">
      <c r="C439" s="185"/>
      <c r="D439" s="190">
        <f t="shared" si="86"/>
        <v>439</v>
      </c>
      <c r="E439" s="194" t="s">
        <v>434</v>
      </c>
      <c r="F439" s="198"/>
      <c r="G439" s="193" t="s">
        <v>312</v>
      </c>
      <c r="H439" s="193"/>
      <c r="I439" s="211">
        <v>18</v>
      </c>
      <c r="J439" s="198" t="str">
        <f>J437</f>
        <v>831 mm</v>
      </c>
      <c r="K439" s="221">
        <v>1</v>
      </c>
      <c r="L439" s="195" t="s">
        <v>39</v>
      </c>
      <c r="M439" s="204">
        <v>1</v>
      </c>
      <c r="N439" s="195" t="s">
        <v>39</v>
      </c>
      <c r="O439" s="205">
        <v>1</v>
      </c>
      <c r="P439" s="195" t="s">
        <v>435</v>
      </c>
      <c r="Q439" s="227">
        <f t="shared" si="90"/>
        <v>1</v>
      </c>
      <c r="R439" s="226"/>
      <c r="S439" s="227">
        <f t="shared" si="91"/>
        <v>1</v>
      </c>
      <c r="T439" s="203" t="s">
        <v>42</v>
      </c>
      <c r="U439" s="183" t="str">
        <f t="shared" si="92"/>
        <v>1 Days</v>
      </c>
    </row>
    <row r="440" spans="3:21" s="172" customFormat="1" ht="20.25" customHeight="1">
      <c r="C440" s="185">
        <f>D440</f>
        <v>440</v>
      </c>
      <c r="D440" s="190">
        <f t="shared" si="86"/>
        <v>440</v>
      </c>
      <c r="E440" s="196" t="s">
        <v>436</v>
      </c>
      <c r="F440" s="197">
        <f>D438</f>
        <v>438</v>
      </c>
      <c r="G440" s="193"/>
      <c r="H440" s="193"/>
      <c r="I440" s="195"/>
      <c r="J440" s="195"/>
      <c r="K440" s="221"/>
      <c r="L440" s="195"/>
      <c r="M440" s="204"/>
      <c r="N440" s="195"/>
      <c r="O440" s="205"/>
      <c r="P440" s="195"/>
      <c r="Q440" s="227"/>
      <c r="R440" s="226"/>
      <c r="S440" s="227"/>
      <c r="T440" s="203"/>
      <c r="U440" s="183"/>
    </row>
    <row r="441" spans="3:21" s="172" customFormat="1" ht="20.25" customHeight="1">
      <c r="C441" s="185"/>
      <c r="D441" s="190">
        <f t="shared" si="86"/>
        <v>441</v>
      </c>
      <c r="E441" s="194" t="s">
        <v>437</v>
      </c>
      <c r="F441" s="198"/>
      <c r="G441" s="193" t="s">
        <v>348</v>
      </c>
      <c r="H441" s="193"/>
      <c r="I441" s="220">
        <f>I439</f>
        <v>18</v>
      </c>
      <c r="J441" s="212" t="s">
        <v>317</v>
      </c>
      <c r="K441" s="221">
        <v>1</v>
      </c>
      <c r="L441" s="195" t="s">
        <v>81</v>
      </c>
      <c r="M441" s="214">
        <f>LEFT(J441,SEARCH(" ",J441,1)-1)*K441*3.142*0.001*2</f>
        <v>9.8030399999999993</v>
      </c>
      <c r="N441" s="195" t="s">
        <v>139</v>
      </c>
      <c r="O441" s="233">
        <f>VLOOKUP(I441,BM!$B$3:$Y$62,13,FALSE)</f>
        <v>0.45</v>
      </c>
      <c r="P441" s="195" t="s">
        <v>112</v>
      </c>
      <c r="Q441" s="227">
        <f t="shared" si="90"/>
        <v>4.4113679999999995</v>
      </c>
      <c r="R441" s="226">
        <v>1</v>
      </c>
      <c r="S441" s="227">
        <f t="shared" si="91"/>
        <v>5.41</v>
      </c>
      <c r="T441" s="203" t="s">
        <v>48</v>
      </c>
      <c r="U441" s="183" t="str">
        <f t="shared" si="92"/>
        <v>5.41 Hrs</v>
      </c>
    </row>
    <row r="442" spans="3:21" s="172" customFormat="1" ht="20.25" customHeight="1">
      <c r="C442" s="185"/>
      <c r="D442" s="190">
        <f t="shared" si="86"/>
        <v>442</v>
      </c>
      <c r="E442" s="194" t="s">
        <v>438</v>
      </c>
      <c r="F442" s="198">
        <f t="shared" si="89"/>
        <v>441</v>
      </c>
      <c r="G442" s="193" t="s">
        <v>111</v>
      </c>
      <c r="H442" s="193"/>
      <c r="I442" s="211">
        <v>18</v>
      </c>
      <c r="J442" s="195" t="str">
        <f>J441</f>
        <v>1560 mm id</v>
      </c>
      <c r="K442" s="221">
        <v>1</v>
      </c>
      <c r="L442" s="195" t="s">
        <v>81</v>
      </c>
      <c r="M442" s="214">
        <f>LEFT(J442,SEARCH(" ",J442,1)-1)*K442*3.142*0.001</f>
        <v>4.9015199999999997</v>
      </c>
      <c r="N442" s="195" t="s">
        <v>139</v>
      </c>
      <c r="O442" s="233">
        <f>VLOOKUP(I442,BM!$B$3:$Y$62,16,FALSE)</f>
        <v>1</v>
      </c>
      <c r="P442" s="195" t="s">
        <v>112</v>
      </c>
      <c r="Q442" s="227">
        <f t="shared" si="90"/>
        <v>4.9015199999999997</v>
      </c>
      <c r="R442" s="226">
        <v>1</v>
      </c>
      <c r="S442" s="227">
        <f t="shared" si="91"/>
        <v>5.9</v>
      </c>
      <c r="T442" s="203" t="s">
        <v>48</v>
      </c>
      <c r="U442" s="183" t="str">
        <f t="shared" si="92"/>
        <v>5.9 Hrs</v>
      </c>
    </row>
    <row r="443" spans="3:21" s="172" customFormat="1" ht="20.25" customHeight="1">
      <c r="C443" s="185"/>
      <c r="D443" s="190">
        <f t="shared" si="86"/>
        <v>443</v>
      </c>
      <c r="E443" s="194" t="s">
        <v>439</v>
      </c>
      <c r="F443" s="198">
        <f t="shared" si="89"/>
        <v>442</v>
      </c>
      <c r="G443" s="193" t="s">
        <v>44</v>
      </c>
      <c r="H443" s="193"/>
      <c r="I443" s="211">
        <v>18</v>
      </c>
      <c r="J443" s="195" t="str">
        <f>J442</f>
        <v>1560 mm id</v>
      </c>
      <c r="K443" s="221">
        <v>1</v>
      </c>
      <c r="L443" s="195" t="s">
        <v>81</v>
      </c>
      <c r="M443" s="204">
        <v>1</v>
      </c>
      <c r="N443" s="195" t="s">
        <v>139</v>
      </c>
      <c r="O443" s="205">
        <v>4</v>
      </c>
      <c r="P443" s="195" t="s">
        <v>112</v>
      </c>
      <c r="Q443" s="227">
        <f t="shared" si="90"/>
        <v>4</v>
      </c>
      <c r="R443" s="226">
        <v>1</v>
      </c>
      <c r="S443" s="227">
        <f t="shared" si="91"/>
        <v>5</v>
      </c>
      <c r="T443" s="203" t="s">
        <v>48</v>
      </c>
      <c r="U443" s="183" t="str">
        <f t="shared" si="92"/>
        <v>5 Hrs</v>
      </c>
    </row>
    <row r="444" spans="3:21" s="172" customFormat="1" ht="20.25" customHeight="1">
      <c r="C444" s="185">
        <f>D444</f>
        <v>444</v>
      </c>
      <c r="D444" s="190">
        <f t="shared" si="86"/>
        <v>444</v>
      </c>
      <c r="E444" s="196" t="s">
        <v>440</v>
      </c>
      <c r="F444" s="197">
        <f>D440</f>
        <v>440</v>
      </c>
      <c r="G444" s="193"/>
      <c r="H444" s="193"/>
      <c r="I444" s="195"/>
      <c r="J444" s="195"/>
      <c r="K444" s="221"/>
      <c r="L444" s="195"/>
      <c r="M444" s="204"/>
      <c r="N444" s="195"/>
      <c r="O444" s="205"/>
      <c r="P444" s="195"/>
      <c r="Q444" s="227"/>
      <c r="R444" s="226"/>
      <c r="S444" s="227"/>
      <c r="T444" s="203"/>
      <c r="U444" s="183"/>
    </row>
    <row r="445" spans="3:21" s="172" customFormat="1" ht="20.25" customHeight="1">
      <c r="C445" s="185"/>
      <c r="D445" s="190">
        <f t="shared" si="86"/>
        <v>445</v>
      </c>
      <c r="E445" s="194" t="s">
        <v>441</v>
      </c>
      <c r="F445" s="198"/>
      <c r="G445" s="193" t="s">
        <v>201</v>
      </c>
      <c r="H445" s="193"/>
      <c r="I445" s="211">
        <v>18</v>
      </c>
      <c r="J445" s="195" t="str">
        <f>J443</f>
        <v>1560 mm id</v>
      </c>
      <c r="K445" s="221">
        <v>1</v>
      </c>
      <c r="L445" s="195" t="s">
        <v>81</v>
      </c>
      <c r="M445" s="204">
        <v>1</v>
      </c>
      <c r="N445" s="195" t="s">
        <v>39</v>
      </c>
      <c r="O445" s="205">
        <v>1</v>
      </c>
      <c r="P445" s="195" t="s">
        <v>112</v>
      </c>
      <c r="Q445" s="227">
        <f t="shared" si="90"/>
        <v>1</v>
      </c>
      <c r="R445" s="226">
        <v>1</v>
      </c>
      <c r="S445" s="227">
        <f t="shared" si="91"/>
        <v>2</v>
      </c>
      <c r="T445" s="203" t="s">
        <v>48</v>
      </c>
      <c r="U445" s="183" t="str">
        <f t="shared" si="92"/>
        <v>2 Hrs</v>
      </c>
    </row>
    <row r="446" spans="3:21" s="172" customFormat="1" ht="20.25" customHeight="1">
      <c r="C446" s="185"/>
      <c r="D446" s="190">
        <f t="shared" si="86"/>
        <v>446</v>
      </c>
      <c r="E446" s="194" t="s">
        <v>442</v>
      </c>
      <c r="F446" s="198">
        <f t="shared" si="89"/>
        <v>445</v>
      </c>
      <c r="G446" s="193" t="s">
        <v>115</v>
      </c>
      <c r="H446" s="193"/>
      <c r="I446" s="211">
        <v>12</v>
      </c>
      <c r="J446" s="195" t="str">
        <f>J445</f>
        <v>1560 mm id</v>
      </c>
      <c r="K446" s="221">
        <v>1</v>
      </c>
      <c r="L446" s="195" t="s">
        <v>81</v>
      </c>
      <c r="M446" s="214">
        <f t="shared" ref="M446:M454" si="99">LEFT(J446,SEARCH(" ",J446,1)-1)*K446*3.142*0.001</f>
        <v>4.9015199999999997</v>
      </c>
      <c r="N446" s="195" t="s">
        <v>249</v>
      </c>
      <c r="O446" s="233">
        <f>VLOOKUP(I446,BM!$B$3:$Y$62,17,FALSE)</f>
        <v>2.5</v>
      </c>
      <c r="P446" s="195" t="s">
        <v>112</v>
      </c>
      <c r="Q446" s="227">
        <f t="shared" si="90"/>
        <v>12.253799999999998</v>
      </c>
      <c r="R446" s="226">
        <v>1</v>
      </c>
      <c r="S446" s="227">
        <f t="shared" si="91"/>
        <v>13.25</v>
      </c>
      <c r="T446" s="203" t="s">
        <v>48</v>
      </c>
      <c r="U446" s="183" t="str">
        <f t="shared" si="92"/>
        <v>13.25 Hrs</v>
      </c>
    </row>
    <row r="447" spans="3:21" s="172" customFormat="1" ht="20.25" customHeight="1">
      <c r="C447" s="185"/>
      <c r="D447" s="190">
        <f t="shared" si="86"/>
        <v>447</v>
      </c>
      <c r="E447" s="194" t="s">
        <v>443</v>
      </c>
      <c r="F447" s="198">
        <f t="shared" si="89"/>
        <v>446</v>
      </c>
      <c r="G447" s="193" t="s">
        <v>61</v>
      </c>
      <c r="H447" s="193"/>
      <c r="I447" s="211">
        <v>18</v>
      </c>
      <c r="J447" s="195" t="str">
        <f>J446</f>
        <v>1560 mm id</v>
      </c>
      <c r="K447" s="221">
        <v>1</v>
      </c>
      <c r="L447" s="195" t="s">
        <v>81</v>
      </c>
      <c r="M447" s="214">
        <f t="shared" si="99"/>
        <v>4.9015199999999997</v>
      </c>
      <c r="N447" s="195" t="s">
        <v>249</v>
      </c>
      <c r="O447" s="233">
        <f>VLOOKUP(I447,BM!$B$3:$Y$62,18,FALSE)</f>
        <v>1</v>
      </c>
      <c r="P447" s="195" t="s">
        <v>112</v>
      </c>
      <c r="Q447" s="227">
        <f t="shared" si="90"/>
        <v>4.9015199999999997</v>
      </c>
      <c r="R447" s="226">
        <v>1</v>
      </c>
      <c r="S447" s="227">
        <f t="shared" si="91"/>
        <v>5.9</v>
      </c>
      <c r="T447" s="203" t="s">
        <v>48</v>
      </c>
      <c r="U447" s="183" t="str">
        <f t="shared" si="92"/>
        <v>5.9 Hrs</v>
      </c>
    </row>
    <row r="448" spans="3:21" s="172" customFormat="1" ht="20.25" customHeight="1">
      <c r="C448" s="185"/>
      <c r="D448" s="190">
        <f t="shared" si="86"/>
        <v>448</v>
      </c>
      <c r="E448" s="194" t="s">
        <v>444</v>
      </c>
      <c r="F448" s="198">
        <f t="shared" si="89"/>
        <v>447</v>
      </c>
      <c r="G448" s="193" t="s">
        <v>115</v>
      </c>
      <c r="H448" s="193"/>
      <c r="I448" s="211">
        <v>8</v>
      </c>
      <c r="J448" s="195" t="str">
        <f>J447</f>
        <v>1560 mm id</v>
      </c>
      <c r="K448" s="221">
        <v>1</v>
      </c>
      <c r="L448" s="195" t="s">
        <v>81</v>
      </c>
      <c r="M448" s="214">
        <f t="shared" si="99"/>
        <v>4.9015199999999997</v>
      </c>
      <c r="N448" s="195" t="s">
        <v>249</v>
      </c>
      <c r="O448" s="233">
        <f>VLOOKUP(I448,BM!$B$3:$Y$62,17,FALSE)</f>
        <v>1.36</v>
      </c>
      <c r="P448" s="195" t="s">
        <v>112</v>
      </c>
      <c r="Q448" s="227">
        <f t="shared" si="90"/>
        <v>6.6660671999999996</v>
      </c>
      <c r="R448" s="226">
        <v>1</v>
      </c>
      <c r="S448" s="227">
        <f t="shared" si="91"/>
        <v>7.67</v>
      </c>
      <c r="T448" s="203" t="s">
        <v>48</v>
      </c>
      <c r="U448" s="183" t="str">
        <f t="shared" si="92"/>
        <v>7.67 Hrs</v>
      </c>
    </row>
    <row r="449" spans="3:21" s="172" customFormat="1" ht="20.25" customHeight="1">
      <c r="C449" s="185"/>
      <c r="D449" s="190">
        <f t="shared" si="86"/>
        <v>449</v>
      </c>
      <c r="E449" s="194" t="s">
        <v>445</v>
      </c>
      <c r="F449" s="198">
        <f t="shared" si="89"/>
        <v>448</v>
      </c>
      <c r="G449" s="193" t="s">
        <v>61</v>
      </c>
      <c r="H449" s="193"/>
      <c r="I449" s="211">
        <v>18</v>
      </c>
      <c r="J449" s="195" t="str">
        <f>J448</f>
        <v>1560 mm id</v>
      </c>
      <c r="K449" s="221">
        <v>1</v>
      </c>
      <c r="L449" s="195" t="s">
        <v>81</v>
      </c>
      <c r="M449" s="214">
        <f t="shared" si="99"/>
        <v>4.9015199999999997</v>
      </c>
      <c r="N449" s="195" t="s">
        <v>249</v>
      </c>
      <c r="O449" s="233">
        <f>VLOOKUP(I449,BM!$B$3:$Y$62,20,FALSE)</f>
        <v>0.5</v>
      </c>
      <c r="P449" s="195" t="s">
        <v>112</v>
      </c>
      <c r="Q449" s="227">
        <f t="shared" si="90"/>
        <v>2.4507599999999998</v>
      </c>
      <c r="R449" s="226">
        <v>1</v>
      </c>
      <c r="S449" s="227">
        <f t="shared" si="91"/>
        <v>3.45</v>
      </c>
      <c r="T449" s="203" t="s">
        <v>48</v>
      </c>
      <c r="U449" s="183" t="str">
        <f t="shared" si="92"/>
        <v>3.45 Hrs</v>
      </c>
    </row>
    <row r="450" spans="3:21" s="172" customFormat="1" ht="20.25" customHeight="1">
      <c r="C450" s="185">
        <f>D450</f>
        <v>450</v>
      </c>
      <c r="D450" s="190">
        <f t="shared" si="86"/>
        <v>450</v>
      </c>
      <c r="E450" s="196" t="s">
        <v>446</v>
      </c>
      <c r="F450" s="197">
        <f>D444</f>
        <v>444</v>
      </c>
      <c r="G450" s="193"/>
      <c r="H450" s="193"/>
      <c r="I450" s="195"/>
      <c r="J450" s="195"/>
      <c r="K450" s="221"/>
      <c r="L450" s="195"/>
      <c r="M450" s="204"/>
      <c r="N450" s="195"/>
      <c r="O450" s="205"/>
      <c r="P450" s="195"/>
      <c r="Q450" s="227"/>
      <c r="R450" s="226"/>
      <c r="S450" s="227"/>
      <c r="T450" s="203"/>
      <c r="U450" s="183"/>
    </row>
    <row r="451" spans="3:21" s="172" customFormat="1" ht="20.25" customHeight="1">
      <c r="C451" s="185"/>
      <c r="D451" s="190">
        <f t="shared" ref="D451:D514" si="100">D450+1</f>
        <v>451</v>
      </c>
      <c r="E451" s="194" t="s">
        <v>447</v>
      </c>
      <c r="F451" s="198"/>
      <c r="G451" s="193" t="s">
        <v>52</v>
      </c>
      <c r="H451" s="193"/>
      <c r="I451" s="211">
        <f>I445</f>
        <v>18</v>
      </c>
      <c r="J451" s="195" t="str">
        <f>J449</f>
        <v>1560 mm id</v>
      </c>
      <c r="K451" s="221">
        <v>1</v>
      </c>
      <c r="L451" s="195" t="s">
        <v>81</v>
      </c>
      <c r="M451" s="214">
        <f t="shared" si="99"/>
        <v>4.9015199999999997</v>
      </c>
      <c r="N451" s="195" t="s">
        <v>139</v>
      </c>
      <c r="O451" s="233">
        <f>VLOOKUP(I451,BM!$B$3:$Y$62,14,FALSE)</f>
        <v>0.5</v>
      </c>
      <c r="P451" s="195" t="s">
        <v>112</v>
      </c>
      <c r="Q451" s="227">
        <f t="shared" si="90"/>
        <v>2.4507599999999998</v>
      </c>
      <c r="R451" s="226">
        <v>1</v>
      </c>
      <c r="S451" s="227">
        <f t="shared" si="91"/>
        <v>3.45</v>
      </c>
      <c r="T451" s="203" t="s">
        <v>48</v>
      </c>
      <c r="U451" s="183" t="str">
        <f t="shared" si="92"/>
        <v>3.45 Hrs</v>
      </c>
    </row>
    <row r="452" spans="3:21" s="172" customFormat="1" ht="20.25" customHeight="1">
      <c r="C452" s="185"/>
      <c r="D452" s="190">
        <f t="shared" si="100"/>
        <v>452</v>
      </c>
      <c r="E452" s="194" t="s">
        <v>437</v>
      </c>
      <c r="F452" s="198">
        <f t="shared" si="89"/>
        <v>451</v>
      </c>
      <c r="G452" s="193" t="s">
        <v>44</v>
      </c>
      <c r="H452" s="193"/>
      <c r="I452" s="211">
        <f>I446</f>
        <v>12</v>
      </c>
      <c r="J452" s="195" t="str">
        <f>J451</f>
        <v>1560 mm id</v>
      </c>
      <c r="K452" s="221">
        <v>1</v>
      </c>
      <c r="L452" s="195" t="s">
        <v>81</v>
      </c>
      <c r="M452" s="214">
        <f t="shared" si="99"/>
        <v>4.9015199999999997</v>
      </c>
      <c r="N452" s="195" t="s">
        <v>139</v>
      </c>
      <c r="O452" s="233">
        <f>VLOOKUP(I452,BM!$B$3:$Y$62,15,FALSE)</f>
        <v>1</v>
      </c>
      <c r="P452" s="195" t="s">
        <v>112</v>
      </c>
      <c r="Q452" s="227">
        <f t="shared" si="90"/>
        <v>4.9015199999999997</v>
      </c>
      <c r="R452" s="226">
        <v>1</v>
      </c>
      <c r="S452" s="227">
        <f t="shared" si="91"/>
        <v>5.9</v>
      </c>
      <c r="T452" s="203" t="s">
        <v>48</v>
      </c>
      <c r="U452" s="183" t="str">
        <f t="shared" si="92"/>
        <v>5.9 Hrs</v>
      </c>
    </row>
    <row r="453" spans="3:21" s="172" customFormat="1" ht="20.25" customHeight="1">
      <c r="C453" s="185"/>
      <c r="D453" s="190">
        <f t="shared" si="100"/>
        <v>453</v>
      </c>
      <c r="E453" s="194" t="s">
        <v>448</v>
      </c>
      <c r="F453" s="198">
        <f t="shared" si="89"/>
        <v>452</v>
      </c>
      <c r="G453" s="193" t="s">
        <v>111</v>
      </c>
      <c r="H453" s="193"/>
      <c r="I453" s="211">
        <f>I448</f>
        <v>8</v>
      </c>
      <c r="J453" s="195" t="str">
        <f>J452</f>
        <v>1560 mm id</v>
      </c>
      <c r="K453" s="221">
        <v>1</v>
      </c>
      <c r="L453" s="195" t="s">
        <v>81</v>
      </c>
      <c r="M453" s="214">
        <f t="shared" si="99"/>
        <v>4.9015199999999997</v>
      </c>
      <c r="N453" s="195" t="s">
        <v>139</v>
      </c>
      <c r="O453" s="205">
        <v>4</v>
      </c>
      <c r="P453" s="195" t="s">
        <v>112</v>
      </c>
      <c r="Q453" s="227">
        <f t="shared" si="90"/>
        <v>19.606079999999999</v>
      </c>
      <c r="R453" s="226">
        <v>1</v>
      </c>
      <c r="S453" s="227">
        <f t="shared" si="91"/>
        <v>20.61</v>
      </c>
      <c r="T453" s="203" t="s">
        <v>48</v>
      </c>
      <c r="U453" s="183" t="str">
        <f t="shared" si="92"/>
        <v>20.61 Hrs</v>
      </c>
    </row>
    <row r="454" spans="3:21" s="172" customFormat="1" ht="20.25" customHeight="1">
      <c r="C454" s="185"/>
      <c r="D454" s="190">
        <f t="shared" si="100"/>
        <v>454</v>
      </c>
      <c r="E454" s="194" t="s">
        <v>439</v>
      </c>
      <c r="F454" s="198">
        <f t="shared" si="89"/>
        <v>453</v>
      </c>
      <c r="G454" s="193" t="s">
        <v>63</v>
      </c>
      <c r="H454" s="193"/>
      <c r="I454" s="211">
        <v>18</v>
      </c>
      <c r="J454" s="195" t="str">
        <f>J453</f>
        <v>1560 mm id</v>
      </c>
      <c r="K454" s="221">
        <v>1</v>
      </c>
      <c r="L454" s="195" t="s">
        <v>81</v>
      </c>
      <c r="M454" s="214">
        <f t="shared" si="99"/>
        <v>4.9015199999999997</v>
      </c>
      <c r="N454" s="195" t="s">
        <v>139</v>
      </c>
      <c r="O454" s="205">
        <v>0.5</v>
      </c>
      <c r="P454" s="195" t="s">
        <v>112</v>
      </c>
      <c r="Q454" s="227">
        <f t="shared" si="90"/>
        <v>2.4507599999999998</v>
      </c>
      <c r="R454" s="226">
        <v>1</v>
      </c>
      <c r="S454" s="227">
        <f t="shared" si="91"/>
        <v>3.45</v>
      </c>
      <c r="T454" s="203" t="s">
        <v>48</v>
      </c>
      <c r="U454" s="183" t="str">
        <f t="shared" si="92"/>
        <v>3.45 Hrs</v>
      </c>
    </row>
    <row r="455" spans="3:21" s="172" customFormat="1" ht="20.25" customHeight="1">
      <c r="C455" s="185">
        <f>D455</f>
        <v>455</v>
      </c>
      <c r="D455" s="190">
        <f t="shared" si="100"/>
        <v>455</v>
      </c>
      <c r="E455" s="196" t="s">
        <v>449</v>
      </c>
      <c r="F455" s="197">
        <f>D450</f>
        <v>450</v>
      </c>
      <c r="G455" s="195"/>
      <c r="H455" s="195"/>
      <c r="I455" s="195"/>
      <c r="J455" s="195"/>
      <c r="K455" s="221"/>
      <c r="L455" s="195"/>
      <c r="M455" s="204"/>
      <c r="N455" s="195"/>
      <c r="O455" s="205"/>
      <c r="P455" s="195"/>
      <c r="Q455" s="227"/>
      <c r="R455" s="226"/>
      <c r="S455" s="227"/>
      <c r="T455" s="203"/>
      <c r="U455" s="183"/>
    </row>
    <row r="456" spans="3:21" s="172" customFormat="1" ht="20.25" customHeight="1">
      <c r="C456" s="185"/>
      <c r="D456" s="190">
        <f t="shared" si="100"/>
        <v>456</v>
      </c>
      <c r="E456" s="194" t="s">
        <v>450</v>
      </c>
      <c r="F456" s="198"/>
      <c r="G456" s="193" t="s">
        <v>201</v>
      </c>
      <c r="H456" s="193"/>
      <c r="I456" s="211">
        <v>12</v>
      </c>
      <c r="J456" s="195" t="str">
        <f>J454</f>
        <v>1560 mm id</v>
      </c>
      <c r="K456" s="221">
        <v>1</v>
      </c>
      <c r="L456" s="195" t="s">
        <v>81</v>
      </c>
      <c r="M456" s="204">
        <v>1</v>
      </c>
      <c r="N456" s="195" t="s">
        <v>249</v>
      </c>
      <c r="O456" s="205">
        <v>1</v>
      </c>
      <c r="P456" s="195" t="s">
        <v>112</v>
      </c>
      <c r="Q456" s="227">
        <f t="shared" si="90"/>
        <v>1</v>
      </c>
      <c r="R456" s="226">
        <v>1</v>
      </c>
      <c r="S456" s="227">
        <f t="shared" si="91"/>
        <v>2</v>
      </c>
      <c r="T456" s="203" t="s">
        <v>48</v>
      </c>
      <c r="U456" s="183" t="str">
        <f t="shared" si="92"/>
        <v>2 Hrs</v>
      </c>
    </row>
    <row r="457" spans="3:21" s="172" customFormat="1" ht="20.25" customHeight="1">
      <c r="C457" s="185"/>
      <c r="D457" s="190">
        <f t="shared" si="100"/>
        <v>457</v>
      </c>
      <c r="E457" s="194" t="s">
        <v>451</v>
      </c>
      <c r="F457" s="198">
        <f t="shared" si="89"/>
        <v>456</v>
      </c>
      <c r="G457" s="193" t="s">
        <v>115</v>
      </c>
      <c r="H457" s="193"/>
      <c r="I457" s="211">
        <v>12</v>
      </c>
      <c r="J457" s="195" t="str">
        <f>J456</f>
        <v>1560 mm id</v>
      </c>
      <c r="K457" s="221">
        <v>1</v>
      </c>
      <c r="L457" s="195" t="s">
        <v>81</v>
      </c>
      <c r="M457" s="214">
        <f t="shared" ref="M457:M460" si="101">LEFT(J457,SEARCH(" ",J457,1)-1)*K457*3.142*0.001</f>
        <v>4.9015199999999997</v>
      </c>
      <c r="N457" s="195" t="s">
        <v>249</v>
      </c>
      <c r="O457" s="233">
        <f>VLOOKUP(I457,BM!$B$3:$Y$62,17,FALSE)</f>
        <v>2.5</v>
      </c>
      <c r="P457" s="195" t="s">
        <v>112</v>
      </c>
      <c r="Q457" s="227">
        <f t="shared" si="90"/>
        <v>12.253799999999998</v>
      </c>
      <c r="R457" s="226">
        <v>1</v>
      </c>
      <c r="S457" s="227">
        <f t="shared" si="91"/>
        <v>13.25</v>
      </c>
      <c r="T457" s="203" t="s">
        <v>48</v>
      </c>
      <c r="U457" s="183" t="str">
        <f t="shared" si="92"/>
        <v>13.25 Hrs</v>
      </c>
    </row>
    <row r="458" spans="3:21" s="172" customFormat="1" ht="20.25" customHeight="1">
      <c r="C458" s="185"/>
      <c r="D458" s="190">
        <f t="shared" si="100"/>
        <v>458</v>
      </c>
      <c r="E458" s="194" t="s">
        <v>452</v>
      </c>
      <c r="F458" s="198">
        <f t="shared" si="89"/>
        <v>457</v>
      </c>
      <c r="G458" s="193" t="s">
        <v>61</v>
      </c>
      <c r="H458" s="193"/>
      <c r="I458" s="211">
        <v>18</v>
      </c>
      <c r="J458" s="195" t="str">
        <f>J457</f>
        <v>1560 mm id</v>
      </c>
      <c r="K458" s="221">
        <v>1</v>
      </c>
      <c r="L458" s="195" t="s">
        <v>81</v>
      </c>
      <c r="M458" s="214">
        <f t="shared" si="101"/>
        <v>4.9015199999999997</v>
      </c>
      <c r="N458" s="195" t="s">
        <v>249</v>
      </c>
      <c r="O458" s="233">
        <f>VLOOKUP(I458,BM!$B$3:$Y$62,18,FALSE)</f>
        <v>1</v>
      </c>
      <c r="P458" s="195" t="s">
        <v>112</v>
      </c>
      <c r="Q458" s="227">
        <f t="shared" si="90"/>
        <v>4.9015199999999997</v>
      </c>
      <c r="R458" s="226">
        <v>1</v>
      </c>
      <c r="S458" s="227">
        <f t="shared" si="91"/>
        <v>5.9</v>
      </c>
      <c r="T458" s="203" t="s">
        <v>48</v>
      </c>
      <c r="U458" s="183" t="str">
        <f t="shared" si="92"/>
        <v>5.9 Hrs</v>
      </c>
    </row>
    <row r="459" spans="3:21" s="172" customFormat="1" ht="20.25" customHeight="1">
      <c r="C459" s="185"/>
      <c r="D459" s="190">
        <f t="shared" si="100"/>
        <v>459</v>
      </c>
      <c r="E459" s="194" t="s">
        <v>453</v>
      </c>
      <c r="F459" s="198">
        <f t="shared" si="89"/>
        <v>458</v>
      </c>
      <c r="G459" s="193" t="s">
        <v>115</v>
      </c>
      <c r="H459" s="193"/>
      <c r="I459" s="211">
        <v>6</v>
      </c>
      <c r="J459" s="195" t="str">
        <f>J458</f>
        <v>1560 mm id</v>
      </c>
      <c r="K459" s="221">
        <v>1</v>
      </c>
      <c r="L459" s="195" t="s">
        <v>81</v>
      </c>
      <c r="M459" s="214">
        <f t="shared" si="101"/>
        <v>4.9015199999999997</v>
      </c>
      <c r="N459" s="195" t="s">
        <v>249</v>
      </c>
      <c r="O459" s="233">
        <f>VLOOKUP(I459,BM!$B$3:$Y$62,17,FALSE)</f>
        <v>0.9</v>
      </c>
      <c r="P459" s="195" t="s">
        <v>112</v>
      </c>
      <c r="Q459" s="227">
        <f t="shared" si="90"/>
        <v>4.4113679999999995</v>
      </c>
      <c r="R459" s="226">
        <v>1</v>
      </c>
      <c r="S459" s="227">
        <f t="shared" si="91"/>
        <v>5.41</v>
      </c>
      <c r="T459" s="203" t="s">
        <v>48</v>
      </c>
      <c r="U459" s="183" t="str">
        <f t="shared" si="92"/>
        <v>5.41 Hrs</v>
      </c>
    </row>
    <row r="460" spans="3:21" s="172" customFormat="1" ht="20.25" customHeight="1">
      <c r="C460" s="185"/>
      <c r="D460" s="190">
        <f t="shared" si="100"/>
        <v>460</v>
      </c>
      <c r="E460" s="194" t="s">
        <v>454</v>
      </c>
      <c r="F460" s="198">
        <f t="shared" si="89"/>
        <v>459</v>
      </c>
      <c r="G460" s="193" t="s">
        <v>61</v>
      </c>
      <c r="H460" s="193"/>
      <c r="I460" s="211">
        <v>18</v>
      </c>
      <c r="J460" s="195" t="str">
        <f>J459</f>
        <v>1560 mm id</v>
      </c>
      <c r="K460" s="221">
        <v>1</v>
      </c>
      <c r="L460" s="195" t="s">
        <v>81</v>
      </c>
      <c r="M460" s="214">
        <f t="shared" si="101"/>
        <v>4.9015199999999997</v>
      </c>
      <c r="N460" s="195" t="s">
        <v>249</v>
      </c>
      <c r="O460" s="233">
        <f>VLOOKUP(I460,BM!$B$3:$Y$62,20,FALSE)</f>
        <v>0.5</v>
      </c>
      <c r="P460" s="195" t="s">
        <v>112</v>
      </c>
      <c r="Q460" s="227">
        <f t="shared" si="90"/>
        <v>2.4507599999999998</v>
      </c>
      <c r="R460" s="226">
        <v>1</v>
      </c>
      <c r="S460" s="227">
        <f t="shared" si="91"/>
        <v>3.45</v>
      </c>
      <c r="T460" s="203" t="s">
        <v>48</v>
      </c>
      <c r="U460" s="183" t="str">
        <f t="shared" si="92"/>
        <v>3.45 Hrs</v>
      </c>
    </row>
    <row r="461" spans="3:21" s="172" customFormat="1" ht="20.25" customHeight="1">
      <c r="C461" s="185">
        <f>D461</f>
        <v>461</v>
      </c>
      <c r="D461" s="190">
        <f t="shared" si="100"/>
        <v>461</v>
      </c>
      <c r="E461" s="196" t="s">
        <v>455</v>
      </c>
      <c r="F461" s="197">
        <f>C455</f>
        <v>455</v>
      </c>
      <c r="G461" s="193"/>
      <c r="H461" s="193"/>
      <c r="I461" s="195"/>
      <c r="J461" s="195"/>
      <c r="K461" s="221"/>
      <c r="L461" s="195"/>
      <c r="M461" s="204"/>
      <c r="N461" s="195"/>
      <c r="O461" s="205"/>
      <c r="P461" s="195"/>
      <c r="Q461" s="227"/>
      <c r="R461" s="226"/>
      <c r="S461" s="227"/>
      <c r="T461" s="203"/>
      <c r="U461" s="183"/>
    </row>
    <row r="462" spans="3:21" s="172" customFormat="1" ht="20.25" customHeight="1">
      <c r="C462" s="185"/>
      <c r="D462" s="190">
        <f t="shared" si="100"/>
        <v>462</v>
      </c>
      <c r="E462" s="194" t="s">
        <v>456</v>
      </c>
      <c r="F462" s="198"/>
      <c r="G462" s="193" t="s">
        <v>312</v>
      </c>
      <c r="H462" s="193"/>
      <c r="I462" s="211">
        <v>18</v>
      </c>
      <c r="J462" s="195" t="str">
        <f>J460</f>
        <v>1560 mm id</v>
      </c>
      <c r="K462" s="221">
        <v>1</v>
      </c>
      <c r="L462" s="195" t="s">
        <v>39</v>
      </c>
      <c r="M462" s="204">
        <v>1</v>
      </c>
      <c r="N462" s="195" t="s">
        <v>457</v>
      </c>
      <c r="O462" s="205">
        <v>1</v>
      </c>
      <c r="P462" s="195" t="s">
        <v>41</v>
      </c>
      <c r="Q462" s="227">
        <f t="shared" si="90"/>
        <v>1</v>
      </c>
      <c r="R462" s="226"/>
      <c r="S462" s="227">
        <f t="shared" si="91"/>
        <v>1</v>
      </c>
      <c r="T462" s="203" t="s">
        <v>42</v>
      </c>
      <c r="U462" s="183" t="str">
        <f t="shared" si="92"/>
        <v>1 Days</v>
      </c>
    </row>
    <row r="463" spans="3:21" s="172" customFormat="1" ht="20.25" customHeight="1">
      <c r="C463" s="185">
        <f>D463</f>
        <v>463</v>
      </c>
      <c r="D463" s="190">
        <f t="shared" si="100"/>
        <v>463</v>
      </c>
      <c r="E463" s="196" t="s">
        <v>458</v>
      </c>
      <c r="F463" s="197">
        <f>C461</f>
        <v>461</v>
      </c>
      <c r="G463" s="193"/>
      <c r="H463" s="193"/>
      <c r="I463" s="195"/>
      <c r="J463" s="195"/>
      <c r="K463" s="221"/>
      <c r="L463" s="195"/>
      <c r="M463" s="204"/>
      <c r="N463" s="195"/>
      <c r="O463" s="205"/>
      <c r="P463" s="195"/>
      <c r="Q463" s="227"/>
      <c r="R463" s="226"/>
      <c r="S463" s="227"/>
      <c r="T463" s="203"/>
      <c r="U463" s="183"/>
    </row>
    <row r="464" spans="3:21" s="172" customFormat="1" ht="20.25" customHeight="1">
      <c r="C464" s="185"/>
      <c r="D464" s="190">
        <f t="shared" si="100"/>
        <v>464</v>
      </c>
      <c r="E464" s="194" t="s">
        <v>459</v>
      </c>
      <c r="F464" s="198"/>
      <c r="G464" s="193" t="s">
        <v>44</v>
      </c>
      <c r="H464" s="193"/>
      <c r="I464" s="211">
        <v>18</v>
      </c>
      <c r="J464" s="195" t="str">
        <f>J462</f>
        <v>1560 mm id</v>
      </c>
      <c r="K464" s="221">
        <v>1</v>
      </c>
      <c r="L464" s="195" t="s">
        <v>81</v>
      </c>
      <c r="M464" s="204">
        <v>1</v>
      </c>
      <c r="N464" s="195" t="s">
        <v>81</v>
      </c>
      <c r="O464" s="205">
        <v>4</v>
      </c>
      <c r="P464" s="195" t="s">
        <v>112</v>
      </c>
      <c r="Q464" s="227">
        <f t="shared" si="90"/>
        <v>4</v>
      </c>
      <c r="R464" s="226">
        <v>1</v>
      </c>
      <c r="S464" s="227">
        <f t="shared" si="91"/>
        <v>5</v>
      </c>
      <c r="T464" s="203" t="s">
        <v>48</v>
      </c>
      <c r="U464" s="183" t="str">
        <f t="shared" si="92"/>
        <v>5 Hrs</v>
      </c>
    </row>
    <row r="465" spans="3:21" s="172" customFormat="1" ht="20.25" customHeight="1">
      <c r="C465" s="185"/>
      <c r="D465" s="190">
        <f t="shared" si="100"/>
        <v>465</v>
      </c>
      <c r="E465" s="194" t="s">
        <v>460</v>
      </c>
      <c r="F465" s="198">
        <f t="shared" si="89"/>
        <v>464</v>
      </c>
      <c r="G465" s="193" t="s">
        <v>44</v>
      </c>
      <c r="H465" s="193"/>
      <c r="I465" s="211">
        <v>18</v>
      </c>
      <c r="J465" s="195" t="str">
        <f>J464</f>
        <v>1560 mm id</v>
      </c>
      <c r="K465" s="221">
        <v>1</v>
      </c>
      <c r="L465" s="195" t="s">
        <v>81</v>
      </c>
      <c r="M465" s="204">
        <v>1</v>
      </c>
      <c r="N465" s="195" t="s">
        <v>81</v>
      </c>
      <c r="O465" s="205">
        <v>4</v>
      </c>
      <c r="P465" s="195" t="s">
        <v>112</v>
      </c>
      <c r="Q465" s="227">
        <f t="shared" si="90"/>
        <v>4</v>
      </c>
      <c r="R465" s="226">
        <v>1</v>
      </c>
      <c r="S465" s="227">
        <f t="shared" si="91"/>
        <v>5</v>
      </c>
      <c r="T465" s="203" t="s">
        <v>48</v>
      </c>
      <c r="U465" s="183" t="str">
        <f t="shared" si="92"/>
        <v>5 Hrs</v>
      </c>
    </row>
    <row r="466" spans="3:21" s="172" customFormat="1" ht="20.25" customHeight="1">
      <c r="C466" s="185">
        <f>D466</f>
        <v>466</v>
      </c>
      <c r="D466" s="190">
        <f t="shared" si="100"/>
        <v>466</v>
      </c>
      <c r="E466" s="196" t="s">
        <v>461</v>
      </c>
      <c r="F466" s="197">
        <f>C463</f>
        <v>463</v>
      </c>
      <c r="G466" s="193"/>
      <c r="H466" s="193"/>
      <c r="I466" s="195"/>
      <c r="J466" s="195"/>
      <c r="K466" s="221"/>
      <c r="L466" s="195"/>
      <c r="M466" s="204"/>
      <c r="N466" s="195"/>
      <c r="O466" s="205"/>
      <c r="P466" s="195"/>
      <c r="Q466" s="227"/>
      <c r="R466" s="226"/>
      <c r="S466" s="227"/>
      <c r="T466" s="203"/>
      <c r="U466" s="183"/>
    </row>
    <row r="467" spans="3:21" s="172" customFormat="1" ht="20.25" customHeight="1">
      <c r="C467" s="185"/>
      <c r="D467" s="190">
        <f t="shared" si="100"/>
        <v>467</v>
      </c>
      <c r="E467" s="194" t="s">
        <v>462</v>
      </c>
      <c r="F467" s="198"/>
      <c r="G467" s="193" t="s">
        <v>52</v>
      </c>
      <c r="H467" s="193"/>
      <c r="I467" s="195"/>
      <c r="J467" s="221" t="s">
        <v>463</v>
      </c>
      <c r="K467" s="221">
        <v>1</v>
      </c>
      <c r="L467" s="195" t="s">
        <v>39</v>
      </c>
      <c r="M467" s="204">
        <v>1</v>
      </c>
      <c r="N467" s="195"/>
      <c r="O467" s="233" t="e">
        <f>VLOOKUP(J467,BM!$B$3:$Y$62,2,FALSE)</f>
        <v>#N/A</v>
      </c>
      <c r="P467" s="195" t="s">
        <v>112</v>
      </c>
      <c r="Q467" s="227" t="e">
        <f t="shared" si="90"/>
        <v>#N/A</v>
      </c>
      <c r="R467" s="226">
        <v>1</v>
      </c>
      <c r="S467" s="227" t="e">
        <f t="shared" si="91"/>
        <v>#N/A</v>
      </c>
      <c r="T467" s="203" t="s">
        <v>48</v>
      </c>
      <c r="U467" s="183" t="e">
        <f t="shared" si="92"/>
        <v>#N/A</v>
      </c>
    </row>
    <row r="468" spans="3:21" s="172" customFormat="1" ht="20.25" customHeight="1">
      <c r="C468" s="185"/>
      <c r="D468" s="190">
        <f t="shared" si="100"/>
        <v>468</v>
      </c>
      <c r="E468" s="194" t="s">
        <v>464</v>
      </c>
      <c r="F468" s="198">
        <f t="shared" si="89"/>
        <v>467</v>
      </c>
      <c r="G468" s="193" t="s">
        <v>52</v>
      </c>
      <c r="H468" s="193"/>
      <c r="I468" s="195"/>
      <c r="J468" s="221" t="s">
        <v>463</v>
      </c>
      <c r="K468" s="221">
        <v>1</v>
      </c>
      <c r="L468" s="195" t="s">
        <v>39</v>
      </c>
      <c r="M468" s="204">
        <v>1</v>
      </c>
      <c r="N468" s="195"/>
      <c r="O468" s="233" t="e">
        <f>VLOOKUP(J468,BM!$B$3:$Y$62,2,FALSE)</f>
        <v>#N/A</v>
      </c>
      <c r="P468" s="195" t="s">
        <v>112</v>
      </c>
      <c r="Q468" s="227" t="e">
        <f t="shared" si="90"/>
        <v>#N/A</v>
      </c>
      <c r="R468" s="226">
        <v>1</v>
      </c>
      <c r="S468" s="227" t="e">
        <f t="shared" si="91"/>
        <v>#N/A</v>
      </c>
      <c r="T468" s="203" t="s">
        <v>48</v>
      </c>
      <c r="U468" s="183" t="e">
        <f t="shared" si="92"/>
        <v>#N/A</v>
      </c>
    </row>
    <row r="469" spans="3:21" s="172" customFormat="1" ht="20.25" customHeight="1">
      <c r="C469" s="185">
        <f>D469</f>
        <v>469</v>
      </c>
      <c r="D469" s="190">
        <f t="shared" si="100"/>
        <v>469</v>
      </c>
      <c r="E469" s="196" t="s">
        <v>465</v>
      </c>
      <c r="F469" s="197">
        <f>C466</f>
        <v>466</v>
      </c>
      <c r="G469" s="193"/>
      <c r="H469" s="193"/>
      <c r="I469" s="195"/>
      <c r="J469" s="195"/>
      <c r="K469" s="221"/>
      <c r="L469" s="195"/>
      <c r="M469" s="204"/>
      <c r="N469" s="195"/>
      <c r="O469" s="205"/>
      <c r="P469" s="195"/>
      <c r="Q469" s="227"/>
      <c r="R469" s="226"/>
      <c r="S469" s="227"/>
      <c r="T469" s="203"/>
      <c r="U469" s="183"/>
    </row>
    <row r="470" spans="3:21" s="172" customFormat="1" ht="20.25" customHeight="1">
      <c r="C470" s="185"/>
      <c r="D470" s="190">
        <f t="shared" si="100"/>
        <v>470</v>
      </c>
      <c r="E470" s="194" t="s">
        <v>466</v>
      </c>
      <c r="F470" s="198"/>
      <c r="G470" s="193" t="s">
        <v>121</v>
      </c>
      <c r="H470" s="193"/>
      <c r="I470" s="195"/>
      <c r="J470" s="195" t="str">
        <f>J468</f>
        <v>400nb</v>
      </c>
      <c r="K470" s="221">
        <v>1</v>
      </c>
      <c r="L470" s="195" t="s">
        <v>39</v>
      </c>
      <c r="M470" s="204">
        <v>1</v>
      </c>
      <c r="N470" s="195"/>
      <c r="O470" s="233" t="e">
        <f>VLOOKUP(J470,BM!$B$3:$Y$62,4,FALSE)</f>
        <v>#N/A</v>
      </c>
      <c r="P470" s="195" t="s">
        <v>112</v>
      </c>
      <c r="Q470" s="227" t="e">
        <f t="shared" si="90"/>
        <v>#N/A</v>
      </c>
      <c r="R470" s="226">
        <v>1</v>
      </c>
      <c r="S470" s="227" t="e">
        <f t="shared" si="91"/>
        <v>#N/A</v>
      </c>
      <c r="T470" s="203" t="s">
        <v>48</v>
      </c>
      <c r="U470" s="183" t="e">
        <f t="shared" si="92"/>
        <v>#N/A</v>
      </c>
    </row>
    <row r="471" spans="3:21" s="172" customFormat="1" ht="20.25" customHeight="1">
      <c r="C471" s="185"/>
      <c r="D471" s="190">
        <f t="shared" si="100"/>
        <v>471</v>
      </c>
      <c r="E471" s="194" t="s">
        <v>467</v>
      </c>
      <c r="F471" s="198">
        <f t="shared" si="89"/>
        <v>470</v>
      </c>
      <c r="G471" s="193" t="s">
        <v>121</v>
      </c>
      <c r="H471" s="193"/>
      <c r="I471" s="195"/>
      <c r="J471" s="195" t="str">
        <f>J468</f>
        <v>400nb</v>
      </c>
      <c r="K471" s="221">
        <v>1</v>
      </c>
      <c r="L471" s="195" t="s">
        <v>39</v>
      </c>
      <c r="M471" s="204">
        <v>1</v>
      </c>
      <c r="N471" s="195"/>
      <c r="O471" s="233" t="e">
        <f>VLOOKUP(J471,BM!$B$3:$Y$62,4,FALSE)</f>
        <v>#N/A</v>
      </c>
      <c r="P471" s="195" t="s">
        <v>112</v>
      </c>
      <c r="Q471" s="227" t="e">
        <f t="shared" si="90"/>
        <v>#N/A</v>
      </c>
      <c r="R471" s="226">
        <v>1</v>
      </c>
      <c r="S471" s="227" t="e">
        <f t="shared" si="91"/>
        <v>#N/A</v>
      </c>
      <c r="T471" s="203" t="s">
        <v>48</v>
      </c>
      <c r="U471" s="183" t="e">
        <f t="shared" si="92"/>
        <v>#N/A</v>
      </c>
    </row>
    <row r="472" spans="3:21" s="172" customFormat="1" ht="20.25" customHeight="1">
      <c r="C472" s="185">
        <f>D472</f>
        <v>472</v>
      </c>
      <c r="D472" s="190">
        <f t="shared" si="100"/>
        <v>472</v>
      </c>
      <c r="E472" s="196" t="s">
        <v>468</v>
      </c>
      <c r="F472" s="197">
        <f>C469</f>
        <v>469</v>
      </c>
      <c r="G472" s="193"/>
      <c r="H472" s="193"/>
      <c r="I472" s="195"/>
      <c r="J472" s="195"/>
      <c r="K472" s="221"/>
      <c r="L472" s="195"/>
      <c r="M472" s="204"/>
      <c r="N472" s="195"/>
      <c r="O472" s="205"/>
      <c r="P472" s="195"/>
      <c r="Q472" s="227"/>
      <c r="R472" s="226"/>
      <c r="S472" s="227"/>
      <c r="T472" s="203"/>
      <c r="U472" s="183"/>
    </row>
    <row r="473" spans="3:21" s="172" customFormat="1" ht="20.25" customHeight="1">
      <c r="C473" s="185"/>
      <c r="D473" s="190">
        <f t="shared" si="100"/>
        <v>473</v>
      </c>
      <c r="E473" s="194" t="s">
        <v>469</v>
      </c>
      <c r="F473" s="198"/>
      <c r="G473" s="193" t="s">
        <v>111</v>
      </c>
      <c r="H473" s="193"/>
      <c r="I473" s="195"/>
      <c r="J473" s="195" t="s">
        <v>463</v>
      </c>
      <c r="K473" s="221">
        <v>1</v>
      </c>
      <c r="L473" s="195" t="s">
        <v>39</v>
      </c>
      <c r="M473" s="204">
        <v>1</v>
      </c>
      <c r="N473" s="195" t="s">
        <v>39</v>
      </c>
      <c r="O473" s="233" t="e">
        <f>VLOOKUP(J473,BM!$B$3:$Y$62,5,FALSE)</f>
        <v>#N/A</v>
      </c>
      <c r="P473" s="195" t="s">
        <v>112</v>
      </c>
      <c r="Q473" s="227" t="e">
        <f t="shared" si="90"/>
        <v>#N/A</v>
      </c>
      <c r="R473" s="226">
        <v>1</v>
      </c>
      <c r="S473" s="227" t="e">
        <f t="shared" si="91"/>
        <v>#N/A</v>
      </c>
      <c r="T473" s="203" t="s">
        <v>48</v>
      </c>
      <c r="U473" s="183" t="e">
        <f t="shared" si="92"/>
        <v>#N/A</v>
      </c>
    </row>
    <row r="474" spans="3:21" s="172" customFormat="1" ht="20.25" customHeight="1">
      <c r="C474" s="185"/>
      <c r="D474" s="190">
        <f t="shared" si="100"/>
        <v>474</v>
      </c>
      <c r="E474" s="194" t="s">
        <v>470</v>
      </c>
      <c r="F474" s="198">
        <f t="shared" si="89"/>
        <v>473</v>
      </c>
      <c r="G474" s="193" t="s">
        <v>111</v>
      </c>
      <c r="H474" s="193"/>
      <c r="I474" s="195"/>
      <c r="J474" s="195" t="s">
        <v>463</v>
      </c>
      <c r="K474" s="221">
        <v>1</v>
      </c>
      <c r="L474" s="195" t="s">
        <v>39</v>
      </c>
      <c r="M474" s="204">
        <v>1</v>
      </c>
      <c r="N474" s="195" t="s">
        <v>39</v>
      </c>
      <c r="O474" s="233" t="e">
        <f>VLOOKUP(J474,BM!$B$3:$Y$62,5,FALSE)</f>
        <v>#N/A</v>
      </c>
      <c r="P474" s="195" t="s">
        <v>112</v>
      </c>
      <c r="Q474" s="227" t="e">
        <f t="shared" si="90"/>
        <v>#N/A</v>
      </c>
      <c r="R474" s="226">
        <v>1</v>
      </c>
      <c r="S474" s="227" t="e">
        <f t="shared" si="91"/>
        <v>#N/A</v>
      </c>
      <c r="T474" s="203" t="s">
        <v>48</v>
      </c>
      <c r="U474" s="183" t="e">
        <f t="shared" si="92"/>
        <v>#N/A</v>
      </c>
    </row>
    <row r="475" spans="3:21" s="172" customFormat="1" ht="20.25" customHeight="1">
      <c r="C475" s="185">
        <f>D475</f>
        <v>475</v>
      </c>
      <c r="D475" s="190">
        <f t="shared" si="100"/>
        <v>475</v>
      </c>
      <c r="E475" s="196" t="s">
        <v>471</v>
      </c>
      <c r="F475" s="197">
        <f>C472</f>
        <v>472</v>
      </c>
      <c r="G475" s="193"/>
      <c r="H475" s="193"/>
      <c r="I475" s="195"/>
      <c r="J475" s="195"/>
      <c r="K475" s="221"/>
      <c r="L475" s="195"/>
      <c r="M475" s="204"/>
      <c r="N475" s="195"/>
      <c r="O475" s="205"/>
      <c r="P475" s="195"/>
      <c r="Q475" s="227"/>
      <c r="R475" s="226"/>
      <c r="S475" s="227"/>
      <c r="T475" s="203"/>
      <c r="U475" s="183"/>
    </row>
    <row r="476" spans="3:21" s="172" customFormat="1" ht="20.25" customHeight="1">
      <c r="C476" s="185"/>
      <c r="D476" s="190">
        <f t="shared" si="100"/>
        <v>476</v>
      </c>
      <c r="E476" s="194" t="s">
        <v>472</v>
      </c>
      <c r="F476" s="198"/>
      <c r="G476" s="193" t="s">
        <v>44</v>
      </c>
      <c r="H476" s="193"/>
      <c r="I476" s="195"/>
      <c r="J476" s="195" t="s">
        <v>463</v>
      </c>
      <c r="K476" s="221">
        <v>1</v>
      </c>
      <c r="L476" s="195" t="s">
        <v>39</v>
      </c>
      <c r="M476" s="204">
        <v>1</v>
      </c>
      <c r="N476" s="195" t="s">
        <v>39</v>
      </c>
      <c r="O476" s="205">
        <v>1</v>
      </c>
      <c r="P476" s="195" t="s">
        <v>112</v>
      </c>
      <c r="Q476" s="227">
        <f t="shared" ref="Q476:Q539" si="102">M476*O476</f>
        <v>1</v>
      </c>
      <c r="R476" s="226">
        <v>1</v>
      </c>
      <c r="S476" s="227">
        <f t="shared" si="91"/>
        <v>2</v>
      </c>
      <c r="T476" s="203" t="s">
        <v>48</v>
      </c>
      <c r="U476" s="183" t="str">
        <f t="shared" ref="U476:U539" si="103">CONCATENATE(S476," ",T476)</f>
        <v>2 Hrs</v>
      </c>
    </row>
    <row r="477" spans="3:21" s="172" customFormat="1" ht="20.25" customHeight="1">
      <c r="C477" s="185"/>
      <c r="D477" s="190">
        <f t="shared" si="100"/>
        <v>477</v>
      </c>
      <c r="E477" s="194" t="s">
        <v>473</v>
      </c>
      <c r="F477" s="198">
        <f t="shared" ref="F477:F540" si="104">D476</f>
        <v>476</v>
      </c>
      <c r="G477" s="193" t="s">
        <v>44</v>
      </c>
      <c r="H477" s="193"/>
      <c r="I477" s="195"/>
      <c r="J477" s="195" t="s">
        <v>463</v>
      </c>
      <c r="K477" s="221">
        <v>1</v>
      </c>
      <c r="L477" s="195" t="s">
        <v>39</v>
      </c>
      <c r="M477" s="204">
        <v>1</v>
      </c>
      <c r="N477" s="195" t="s">
        <v>39</v>
      </c>
      <c r="O477" s="205">
        <v>1</v>
      </c>
      <c r="P477" s="195" t="s">
        <v>112</v>
      </c>
      <c r="Q477" s="227">
        <f t="shared" si="102"/>
        <v>1</v>
      </c>
      <c r="R477" s="226">
        <v>1</v>
      </c>
      <c r="S477" s="227">
        <f t="shared" ref="S477:S540" si="105">ROUND(Q477+R477,2)</f>
        <v>2</v>
      </c>
      <c r="T477" s="203" t="s">
        <v>48</v>
      </c>
      <c r="U477" s="183" t="str">
        <f t="shared" si="103"/>
        <v>2 Hrs</v>
      </c>
    </row>
    <row r="478" spans="3:21" s="172" customFormat="1" ht="20.25" customHeight="1">
      <c r="C478" s="185">
        <f>D478</f>
        <v>478</v>
      </c>
      <c r="D478" s="190">
        <f t="shared" si="100"/>
        <v>478</v>
      </c>
      <c r="E478" s="196" t="s">
        <v>474</v>
      </c>
      <c r="F478" s="197">
        <f>C475</f>
        <v>475</v>
      </c>
      <c r="G478" s="193"/>
      <c r="H478" s="193"/>
      <c r="I478" s="195"/>
      <c r="J478" s="195"/>
      <c r="K478" s="221"/>
      <c r="L478" s="195"/>
      <c r="M478" s="204"/>
      <c r="N478" s="195"/>
      <c r="O478" s="205"/>
      <c r="P478" s="195"/>
      <c r="Q478" s="227"/>
      <c r="R478" s="226"/>
      <c r="S478" s="227"/>
      <c r="T478" s="203"/>
      <c r="U478" s="183"/>
    </row>
    <row r="479" spans="3:21" s="172" customFormat="1" ht="20.25" customHeight="1">
      <c r="C479" s="185"/>
      <c r="D479" s="190">
        <f t="shared" si="100"/>
        <v>479</v>
      </c>
      <c r="E479" s="194" t="s">
        <v>475</v>
      </c>
      <c r="F479" s="198"/>
      <c r="G479" s="193" t="s">
        <v>201</v>
      </c>
      <c r="H479" s="193"/>
      <c r="I479" s="195"/>
      <c r="J479" s="195" t="s">
        <v>463</v>
      </c>
      <c r="K479" s="221">
        <v>2</v>
      </c>
      <c r="L479" s="195" t="s">
        <v>81</v>
      </c>
      <c r="M479" s="204">
        <v>1</v>
      </c>
      <c r="N479" s="195" t="s">
        <v>39</v>
      </c>
      <c r="O479" s="205">
        <v>0.5</v>
      </c>
      <c r="P479" s="195" t="s">
        <v>112</v>
      </c>
      <c r="Q479" s="227">
        <f t="shared" si="102"/>
        <v>0.5</v>
      </c>
      <c r="R479" s="226">
        <v>1</v>
      </c>
      <c r="S479" s="227">
        <f t="shared" si="105"/>
        <v>1.5</v>
      </c>
      <c r="T479" s="203" t="s">
        <v>48</v>
      </c>
      <c r="U479" s="183" t="str">
        <f t="shared" si="103"/>
        <v>1.5 Hrs</v>
      </c>
    </row>
    <row r="480" spans="3:21" s="172" customFormat="1" ht="20.25" customHeight="1">
      <c r="C480" s="185"/>
      <c r="D480" s="190">
        <f t="shared" si="100"/>
        <v>480</v>
      </c>
      <c r="E480" s="194" t="s">
        <v>476</v>
      </c>
      <c r="F480" s="198">
        <f t="shared" si="104"/>
        <v>479</v>
      </c>
      <c r="G480" s="193" t="s">
        <v>115</v>
      </c>
      <c r="H480" s="193"/>
      <c r="I480" s="211">
        <v>14</v>
      </c>
      <c r="J480" s="221" t="s">
        <v>477</v>
      </c>
      <c r="K480" s="221">
        <v>1</v>
      </c>
      <c r="L480" s="195" t="s">
        <v>39</v>
      </c>
      <c r="M480" s="222">
        <f>16*25.4*3.142*K480/1000</f>
        <v>1.2769088</v>
      </c>
      <c r="N480" s="195" t="s">
        <v>249</v>
      </c>
      <c r="O480" s="233">
        <f>VLOOKUP(I480,BM!$B$3:$Y$62,17,FALSE)</f>
        <v>3.22</v>
      </c>
      <c r="P480" s="195" t="s">
        <v>112</v>
      </c>
      <c r="Q480" s="227">
        <f t="shared" si="102"/>
        <v>4.1116463359999997</v>
      </c>
      <c r="R480" s="226">
        <v>1</v>
      </c>
      <c r="S480" s="227">
        <f t="shared" si="105"/>
        <v>5.1100000000000003</v>
      </c>
      <c r="T480" s="203" t="s">
        <v>48</v>
      </c>
      <c r="U480" s="183" t="str">
        <f t="shared" si="103"/>
        <v>5.11 Hrs</v>
      </c>
    </row>
    <row r="481" spans="3:21" s="172" customFormat="1" ht="20.25" customHeight="1">
      <c r="C481" s="185"/>
      <c r="D481" s="190">
        <f t="shared" si="100"/>
        <v>481</v>
      </c>
      <c r="E481" s="194" t="s">
        <v>478</v>
      </c>
      <c r="F481" s="198">
        <f t="shared" si="104"/>
        <v>480</v>
      </c>
      <c r="G481" s="193" t="s">
        <v>115</v>
      </c>
      <c r="H481" s="193"/>
      <c r="I481" s="211">
        <v>14</v>
      </c>
      <c r="J481" s="221" t="s">
        <v>477</v>
      </c>
      <c r="K481" s="221">
        <v>1</v>
      </c>
      <c r="L481" s="195" t="s">
        <v>39</v>
      </c>
      <c r="M481" s="222">
        <f>16*25.4*3.142*K481/1000</f>
        <v>1.2769088</v>
      </c>
      <c r="N481" s="195" t="s">
        <v>249</v>
      </c>
      <c r="O481" s="233">
        <f>VLOOKUP(I481,BM!$B$3:$Y$62,17,FALSE)</f>
        <v>3.22</v>
      </c>
      <c r="P481" s="195" t="s">
        <v>112</v>
      </c>
      <c r="Q481" s="227">
        <f t="shared" si="102"/>
        <v>4.1116463359999997</v>
      </c>
      <c r="R481" s="226">
        <v>1</v>
      </c>
      <c r="S481" s="227">
        <f t="shared" si="105"/>
        <v>5.1100000000000003</v>
      </c>
      <c r="T481" s="203" t="s">
        <v>48</v>
      </c>
      <c r="U481" s="183" t="str">
        <f t="shared" si="103"/>
        <v>5.11 Hrs</v>
      </c>
    </row>
    <row r="482" spans="3:21" s="172" customFormat="1" ht="20.25" customHeight="1">
      <c r="C482" s="185"/>
      <c r="D482" s="190">
        <f t="shared" si="100"/>
        <v>482</v>
      </c>
      <c r="E482" s="194" t="s">
        <v>479</v>
      </c>
      <c r="F482" s="198">
        <f t="shared" si="104"/>
        <v>481</v>
      </c>
      <c r="G482" s="193" t="s">
        <v>115</v>
      </c>
      <c r="H482" s="193"/>
      <c r="I482" s="211">
        <v>14</v>
      </c>
      <c r="J482" s="221" t="s">
        <v>477</v>
      </c>
      <c r="K482" s="221">
        <v>2</v>
      </c>
      <c r="L482" s="195" t="s">
        <v>39</v>
      </c>
      <c r="M482" s="204">
        <v>2</v>
      </c>
      <c r="N482" s="195" t="s">
        <v>81</v>
      </c>
      <c r="O482" s="205">
        <v>1</v>
      </c>
      <c r="P482" s="195" t="s">
        <v>112</v>
      </c>
      <c r="Q482" s="227">
        <f t="shared" si="102"/>
        <v>2</v>
      </c>
      <c r="R482" s="226">
        <v>1</v>
      </c>
      <c r="S482" s="227">
        <f t="shared" si="105"/>
        <v>3</v>
      </c>
      <c r="T482" s="203" t="s">
        <v>48</v>
      </c>
      <c r="U482" s="183" t="str">
        <f t="shared" si="103"/>
        <v>3 Hrs</v>
      </c>
    </row>
    <row r="483" spans="3:21" s="172" customFormat="1" ht="20.25" customHeight="1">
      <c r="C483" s="185"/>
      <c r="D483" s="190">
        <f t="shared" si="100"/>
        <v>483</v>
      </c>
      <c r="E483" s="194" t="s">
        <v>480</v>
      </c>
      <c r="F483" s="198">
        <f t="shared" si="104"/>
        <v>482</v>
      </c>
      <c r="G483" s="193" t="s">
        <v>115</v>
      </c>
      <c r="H483" s="193"/>
      <c r="I483" s="211">
        <v>6</v>
      </c>
      <c r="J483" s="221" t="s">
        <v>477</v>
      </c>
      <c r="K483" s="221">
        <v>1</v>
      </c>
      <c r="L483" s="195" t="s">
        <v>39</v>
      </c>
      <c r="M483" s="222">
        <f>16*25.4*3.142*K483/1000</f>
        <v>1.2769088</v>
      </c>
      <c r="N483" s="195" t="s">
        <v>249</v>
      </c>
      <c r="O483" s="233">
        <f>VLOOKUP(I483,BM!$B$3:$Y$62,17,FALSE)</f>
        <v>0.9</v>
      </c>
      <c r="P483" s="195" t="s">
        <v>112</v>
      </c>
      <c r="Q483" s="227">
        <f t="shared" si="102"/>
        <v>1.1492179199999999</v>
      </c>
      <c r="R483" s="226">
        <v>1</v>
      </c>
      <c r="S483" s="227">
        <f t="shared" si="105"/>
        <v>2.15</v>
      </c>
      <c r="T483" s="203" t="s">
        <v>48</v>
      </c>
      <c r="U483" s="183" t="str">
        <f t="shared" si="103"/>
        <v>2.15 Hrs</v>
      </c>
    </row>
    <row r="484" spans="3:21" s="172" customFormat="1" ht="20.25" customHeight="1">
      <c r="C484" s="185"/>
      <c r="D484" s="190">
        <f t="shared" si="100"/>
        <v>484</v>
      </c>
      <c r="E484" s="194" t="s">
        <v>481</v>
      </c>
      <c r="F484" s="198">
        <f t="shared" si="104"/>
        <v>483</v>
      </c>
      <c r="G484" s="193" t="s">
        <v>115</v>
      </c>
      <c r="H484" s="193"/>
      <c r="I484" s="211">
        <v>6</v>
      </c>
      <c r="J484" s="221" t="s">
        <v>477</v>
      </c>
      <c r="K484" s="221">
        <v>1</v>
      </c>
      <c r="L484" s="195" t="s">
        <v>39</v>
      </c>
      <c r="M484" s="222">
        <f>16*25.4*3.142*K484/1000</f>
        <v>1.2769088</v>
      </c>
      <c r="N484" s="195" t="s">
        <v>249</v>
      </c>
      <c r="O484" s="233">
        <f>VLOOKUP(I484,BM!$B$3:$Y$62,17,FALSE)</f>
        <v>0.9</v>
      </c>
      <c r="P484" s="195" t="s">
        <v>112</v>
      </c>
      <c r="Q484" s="227">
        <f t="shared" si="102"/>
        <v>1.1492179199999999</v>
      </c>
      <c r="R484" s="226">
        <v>1</v>
      </c>
      <c r="S484" s="227">
        <f t="shared" si="105"/>
        <v>2.15</v>
      </c>
      <c r="T484" s="203" t="s">
        <v>48</v>
      </c>
      <c r="U484" s="183" t="str">
        <f t="shared" si="103"/>
        <v>2.15 Hrs</v>
      </c>
    </row>
    <row r="485" spans="3:21" s="172" customFormat="1" ht="20.25" customHeight="1">
      <c r="C485" s="185"/>
      <c r="D485" s="190">
        <f t="shared" si="100"/>
        <v>485</v>
      </c>
      <c r="E485" s="194" t="s">
        <v>482</v>
      </c>
      <c r="F485" s="198">
        <f t="shared" si="104"/>
        <v>484</v>
      </c>
      <c r="G485" s="193" t="s">
        <v>115</v>
      </c>
      <c r="H485" s="193"/>
      <c r="I485" s="195"/>
      <c r="J485" s="221" t="s">
        <v>463</v>
      </c>
      <c r="K485" s="221">
        <v>2</v>
      </c>
      <c r="L485" s="195" t="s">
        <v>39</v>
      </c>
      <c r="M485" s="204">
        <v>2</v>
      </c>
      <c r="N485" s="195" t="s">
        <v>84</v>
      </c>
      <c r="O485" s="233" t="e">
        <f>VLOOKUP(J485,BM!$B$3:$Y$62,11,FALSE)</f>
        <v>#N/A</v>
      </c>
      <c r="P485" s="195" t="s">
        <v>112</v>
      </c>
      <c r="Q485" s="227" t="e">
        <f t="shared" si="102"/>
        <v>#N/A</v>
      </c>
      <c r="R485" s="226">
        <v>1</v>
      </c>
      <c r="S485" s="227" t="e">
        <f t="shared" si="105"/>
        <v>#N/A</v>
      </c>
      <c r="T485" s="203" t="s">
        <v>48</v>
      </c>
      <c r="U485" s="183" t="e">
        <f t="shared" si="103"/>
        <v>#N/A</v>
      </c>
    </row>
    <row r="486" spans="3:21" s="172" customFormat="1" ht="20.25" customHeight="1">
      <c r="C486" s="185"/>
      <c r="D486" s="190">
        <f t="shared" si="100"/>
        <v>486</v>
      </c>
      <c r="E486" s="194" t="s">
        <v>483</v>
      </c>
      <c r="F486" s="198">
        <f t="shared" si="104"/>
        <v>485</v>
      </c>
      <c r="G486" s="193" t="s">
        <v>121</v>
      </c>
      <c r="H486" s="193"/>
      <c r="I486" s="211">
        <v>18</v>
      </c>
      <c r="J486" s="195"/>
      <c r="K486" s="221">
        <v>2</v>
      </c>
      <c r="L486" s="195" t="s">
        <v>39</v>
      </c>
      <c r="M486" s="222">
        <f>16*25.4*3.142*0.001*K486</f>
        <v>2.5538175999999999</v>
      </c>
      <c r="N486" s="195" t="s">
        <v>249</v>
      </c>
      <c r="O486" s="233">
        <f>VLOOKUP(I486,BM!$B$3:$Y$62,23,FALSE)</f>
        <v>6.8</v>
      </c>
      <c r="P486" s="195" t="s">
        <v>112</v>
      </c>
      <c r="Q486" s="227">
        <f t="shared" si="102"/>
        <v>17.36595968</v>
      </c>
      <c r="R486" s="226">
        <v>1</v>
      </c>
      <c r="S486" s="227">
        <f t="shared" si="105"/>
        <v>18.37</v>
      </c>
      <c r="T486" s="203" t="s">
        <v>48</v>
      </c>
      <c r="U486" s="183" t="str">
        <f t="shared" si="103"/>
        <v>18.37 Hrs</v>
      </c>
    </row>
    <row r="487" spans="3:21" s="172" customFormat="1" ht="20.25" customHeight="1">
      <c r="C487" s="185"/>
      <c r="D487" s="190">
        <f t="shared" si="100"/>
        <v>487</v>
      </c>
      <c r="E487" s="194" t="s">
        <v>484</v>
      </c>
      <c r="F487" s="198">
        <f t="shared" si="104"/>
        <v>486</v>
      </c>
      <c r="G487" s="193" t="s">
        <v>61</v>
      </c>
      <c r="H487" s="193"/>
      <c r="I487" s="195"/>
      <c r="J487" s="221" t="s">
        <v>477</v>
      </c>
      <c r="K487" s="221">
        <v>2</v>
      </c>
      <c r="L487" s="195" t="s">
        <v>485</v>
      </c>
      <c r="M487" s="222">
        <f>16*25.4*3.142*K487/1000</f>
        <v>2.5538175999999999</v>
      </c>
      <c r="N487" s="195" t="s">
        <v>39</v>
      </c>
      <c r="O487" s="205">
        <v>0.15</v>
      </c>
      <c r="P487" s="195" t="s">
        <v>112</v>
      </c>
      <c r="Q487" s="227">
        <f t="shared" si="102"/>
        <v>0.38307263999999996</v>
      </c>
      <c r="R487" s="226">
        <v>1</v>
      </c>
      <c r="S487" s="227">
        <f t="shared" si="105"/>
        <v>1.38</v>
      </c>
      <c r="T487" s="203" t="s">
        <v>48</v>
      </c>
      <c r="U487" s="183" t="str">
        <f t="shared" si="103"/>
        <v>1.38 Hrs</v>
      </c>
    </row>
    <row r="488" spans="3:21" s="172" customFormat="1" ht="20.25" customHeight="1">
      <c r="C488" s="185">
        <f>D488</f>
        <v>488</v>
      </c>
      <c r="D488" s="190">
        <f t="shared" si="100"/>
        <v>488</v>
      </c>
      <c r="E488" s="196" t="s">
        <v>486</v>
      </c>
      <c r="F488" s="197">
        <f>C478</f>
        <v>478</v>
      </c>
      <c r="G488" s="193"/>
      <c r="H488" s="193"/>
      <c r="I488" s="195"/>
      <c r="J488" s="195"/>
      <c r="K488" s="221"/>
      <c r="L488" s="195"/>
      <c r="M488" s="204"/>
      <c r="N488" s="195"/>
      <c r="O488" s="205"/>
      <c r="P488" s="195"/>
      <c r="Q488" s="227"/>
      <c r="R488" s="226"/>
      <c r="S488" s="227"/>
      <c r="T488" s="203"/>
      <c r="U488" s="183"/>
    </row>
    <row r="489" spans="3:21" s="172" customFormat="1" ht="20.25" customHeight="1">
      <c r="C489" s="185"/>
      <c r="D489" s="190">
        <f t="shared" si="100"/>
        <v>489</v>
      </c>
      <c r="E489" s="194" t="s">
        <v>487</v>
      </c>
      <c r="F489" s="198"/>
      <c r="G489" s="193" t="s">
        <v>299</v>
      </c>
      <c r="H489" s="193"/>
      <c r="I489" s="211">
        <v>24</v>
      </c>
      <c r="J489" s="221">
        <v>14465</v>
      </c>
      <c r="K489" s="221">
        <v>1</v>
      </c>
      <c r="L489" s="195" t="s">
        <v>39</v>
      </c>
      <c r="M489" s="204">
        <f>J489*K489/1000</f>
        <v>14.465</v>
      </c>
      <c r="N489" s="195" t="s">
        <v>81</v>
      </c>
      <c r="O489" s="205">
        <v>0.5</v>
      </c>
      <c r="P489" s="195" t="s">
        <v>112</v>
      </c>
      <c r="Q489" s="227">
        <f t="shared" si="102"/>
        <v>7.2324999999999999</v>
      </c>
      <c r="R489" s="226">
        <v>1</v>
      </c>
      <c r="S489" s="227">
        <f t="shared" si="105"/>
        <v>8.23</v>
      </c>
      <c r="T489" s="203" t="s">
        <v>48</v>
      </c>
      <c r="U489" s="183" t="str">
        <f t="shared" si="103"/>
        <v>8.23 Hrs</v>
      </c>
    </row>
    <row r="490" spans="3:21" s="172" customFormat="1" ht="20.25" customHeight="1">
      <c r="C490" s="185"/>
      <c r="D490" s="190">
        <f t="shared" si="100"/>
        <v>490</v>
      </c>
      <c r="E490" s="194" t="s">
        <v>488</v>
      </c>
      <c r="F490" s="198">
        <f t="shared" si="104"/>
        <v>489</v>
      </c>
      <c r="G490" s="193" t="s">
        <v>44</v>
      </c>
      <c r="H490" s="193"/>
      <c r="I490" s="211">
        <v>24</v>
      </c>
      <c r="J490" s="221" t="s">
        <v>489</v>
      </c>
      <c r="K490" s="221">
        <v>3</v>
      </c>
      <c r="L490" s="195" t="s">
        <v>39</v>
      </c>
      <c r="M490" s="204">
        <v>4</v>
      </c>
      <c r="N490" s="195" t="s">
        <v>81</v>
      </c>
      <c r="O490" s="205">
        <v>0.5</v>
      </c>
      <c r="P490" s="195" t="s">
        <v>112</v>
      </c>
      <c r="Q490" s="227">
        <f t="shared" si="102"/>
        <v>2</v>
      </c>
      <c r="R490" s="226">
        <v>1</v>
      </c>
      <c r="S490" s="227">
        <f t="shared" si="105"/>
        <v>3</v>
      </c>
      <c r="T490" s="203" t="s">
        <v>48</v>
      </c>
      <c r="U490" s="183" t="str">
        <f t="shared" si="103"/>
        <v>3 Hrs</v>
      </c>
    </row>
    <row r="491" spans="3:21" s="172" customFormat="1" ht="20.25" customHeight="1">
      <c r="C491" s="185">
        <f>D491</f>
        <v>491</v>
      </c>
      <c r="D491" s="190">
        <f t="shared" si="100"/>
        <v>491</v>
      </c>
      <c r="E491" s="196" t="s">
        <v>490</v>
      </c>
      <c r="F491" s="197">
        <f>C488</f>
        <v>488</v>
      </c>
      <c r="G491" s="193"/>
      <c r="H491" s="193"/>
      <c r="I491" s="195"/>
      <c r="J491" s="195"/>
      <c r="K491" s="221"/>
      <c r="L491" s="195"/>
      <c r="M491" s="204"/>
      <c r="N491" s="195"/>
      <c r="O491" s="205"/>
      <c r="P491" s="195"/>
      <c r="Q491" s="227"/>
      <c r="R491" s="226"/>
      <c r="S491" s="227"/>
      <c r="T491" s="203"/>
      <c r="U491" s="183"/>
    </row>
    <row r="492" spans="3:21" s="172" customFormat="1" ht="20.25" customHeight="1">
      <c r="C492" s="185"/>
      <c r="D492" s="190">
        <f t="shared" si="100"/>
        <v>492</v>
      </c>
      <c r="E492" s="194" t="s">
        <v>491</v>
      </c>
      <c r="F492" s="198"/>
      <c r="G492" s="193" t="s">
        <v>115</v>
      </c>
      <c r="H492" s="193"/>
      <c r="I492" s="211">
        <v>24</v>
      </c>
      <c r="J492" s="221">
        <v>1480</v>
      </c>
      <c r="K492" s="221">
        <v>3</v>
      </c>
      <c r="L492" s="195" t="s">
        <v>39</v>
      </c>
      <c r="M492" s="222">
        <f>J492*K492/1000</f>
        <v>4.4400000000000004</v>
      </c>
      <c r="N492" s="195"/>
      <c r="O492" s="233">
        <f>VLOOKUP(I492,BM!$B$3:$Y$62,23,FALSE)</f>
        <v>11.2</v>
      </c>
      <c r="P492" s="195" t="s">
        <v>112</v>
      </c>
      <c r="Q492" s="227">
        <f t="shared" si="102"/>
        <v>49.728000000000002</v>
      </c>
      <c r="R492" s="226">
        <v>1</v>
      </c>
      <c r="S492" s="227">
        <f t="shared" si="105"/>
        <v>50.73</v>
      </c>
      <c r="T492" s="203" t="s">
        <v>48</v>
      </c>
      <c r="U492" s="183" t="str">
        <f t="shared" si="103"/>
        <v>50.73 Hrs</v>
      </c>
    </row>
    <row r="493" spans="3:21" s="172" customFormat="1" ht="20.25" customHeight="1">
      <c r="C493" s="185"/>
      <c r="D493" s="190">
        <f t="shared" si="100"/>
        <v>493</v>
      </c>
      <c r="E493" s="194" t="s">
        <v>492</v>
      </c>
      <c r="F493" s="198">
        <f t="shared" si="104"/>
        <v>492</v>
      </c>
      <c r="G493" s="193" t="s">
        <v>121</v>
      </c>
      <c r="H493" s="193"/>
      <c r="I493" s="211">
        <v>12</v>
      </c>
      <c r="J493" s="221" t="s">
        <v>493</v>
      </c>
      <c r="K493" s="221">
        <v>1</v>
      </c>
      <c r="L493" s="195" t="s">
        <v>39</v>
      </c>
      <c r="M493" s="214">
        <f>LEFT(J493,SEARCH(" ",J493,1)-1)*K493/1000</f>
        <v>12.31</v>
      </c>
      <c r="N493" s="195" t="s">
        <v>39</v>
      </c>
      <c r="O493" s="233">
        <f>VLOOKUP(I493,BM!$B$3:$Y$62,22,FALSE)</f>
        <v>1.6</v>
      </c>
      <c r="P493" s="195" t="s">
        <v>112</v>
      </c>
      <c r="Q493" s="227">
        <f t="shared" si="102"/>
        <v>19.696000000000002</v>
      </c>
      <c r="R493" s="226">
        <v>1</v>
      </c>
      <c r="S493" s="227">
        <f t="shared" si="105"/>
        <v>20.7</v>
      </c>
      <c r="T493" s="203" t="s">
        <v>48</v>
      </c>
      <c r="U493" s="183" t="str">
        <f t="shared" si="103"/>
        <v>20.7 Hrs</v>
      </c>
    </row>
    <row r="494" spans="3:21" s="172" customFormat="1" ht="20.25" customHeight="1">
      <c r="C494" s="185">
        <f>D494</f>
        <v>494</v>
      </c>
      <c r="D494" s="190">
        <f t="shared" si="100"/>
        <v>494</v>
      </c>
      <c r="E494" s="196" t="s">
        <v>494</v>
      </c>
      <c r="F494" s="197">
        <f>C491</f>
        <v>491</v>
      </c>
      <c r="G494" s="193"/>
      <c r="H494" s="193"/>
      <c r="I494" s="195"/>
      <c r="J494" s="195"/>
      <c r="K494" s="221"/>
      <c r="L494" s="195"/>
      <c r="M494" s="204"/>
      <c r="N494" s="195"/>
      <c r="O494" s="205"/>
      <c r="P494" s="195"/>
      <c r="Q494" s="227"/>
      <c r="R494" s="226"/>
      <c r="S494" s="227"/>
      <c r="T494" s="203"/>
      <c r="U494" s="183"/>
    </row>
    <row r="495" spans="3:21" s="172" customFormat="1" ht="20.25" customHeight="1">
      <c r="C495" s="185"/>
      <c r="D495" s="190">
        <f t="shared" si="100"/>
        <v>495</v>
      </c>
      <c r="E495" s="194" t="s">
        <v>495</v>
      </c>
      <c r="F495" s="198"/>
      <c r="G495" s="193" t="s">
        <v>44</v>
      </c>
      <c r="H495" s="193"/>
      <c r="I495" s="211">
        <v>18</v>
      </c>
      <c r="J495" s="221" t="s">
        <v>496</v>
      </c>
      <c r="K495" s="221">
        <v>1</v>
      </c>
      <c r="L495" s="195" t="s">
        <v>39</v>
      </c>
      <c r="M495" s="204">
        <v>1</v>
      </c>
      <c r="N495" s="195" t="s">
        <v>39</v>
      </c>
      <c r="O495" s="205">
        <v>4</v>
      </c>
      <c r="P495" s="195" t="s">
        <v>112</v>
      </c>
      <c r="Q495" s="227">
        <f t="shared" si="102"/>
        <v>4</v>
      </c>
      <c r="R495" s="226">
        <v>1</v>
      </c>
      <c r="S495" s="227">
        <f t="shared" si="105"/>
        <v>5</v>
      </c>
      <c r="T495" s="203" t="s">
        <v>48</v>
      </c>
      <c r="U495" s="183" t="str">
        <f t="shared" si="103"/>
        <v>5 Hrs</v>
      </c>
    </row>
    <row r="496" spans="3:21" s="172" customFormat="1" ht="20.25" customHeight="1">
      <c r="C496" s="185"/>
      <c r="D496" s="190">
        <f t="shared" si="100"/>
        <v>496</v>
      </c>
      <c r="E496" s="194" t="s">
        <v>497</v>
      </c>
      <c r="F496" s="198">
        <f t="shared" si="104"/>
        <v>495</v>
      </c>
      <c r="G496" s="193" t="s">
        <v>498</v>
      </c>
      <c r="H496" s="193"/>
      <c r="I496" s="211">
        <v>18</v>
      </c>
      <c r="J496" s="221" t="s">
        <v>499</v>
      </c>
      <c r="K496" s="221">
        <v>1</v>
      </c>
      <c r="L496" s="195" t="s">
        <v>39</v>
      </c>
      <c r="M496" s="204">
        <v>1</v>
      </c>
      <c r="N496" s="195" t="s">
        <v>39</v>
      </c>
      <c r="O496" s="205">
        <v>4</v>
      </c>
      <c r="P496" s="195" t="s">
        <v>112</v>
      </c>
      <c r="Q496" s="227">
        <f t="shared" si="102"/>
        <v>4</v>
      </c>
      <c r="R496" s="226">
        <v>1</v>
      </c>
      <c r="S496" s="227">
        <f t="shared" si="105"/>
        <v>5</v>
      </c>
      <c r="T496" s="203" t="s">
        <v>48</v>
      </c>
      <c r="U496" s="183" t="str">
        <f t="shared" si="103"/>
        <v>5 Hrs</v>
      </c>
    </row>
    <row r="497" spans="3:21" s="172" customFormat="1" ht="20.25" customHeight="1">
      <c r="C497" s="185"/>
      <c r="D497" s="190">
        <f t="shared" si="100"/>
        <v>497</v>
      </c>
      <c r="E497" s="194" t="s">
        <v>500</v>
      </c>
      <c r="F497" s="198">
        <f t="shared" si="104"/>
        <v>496</v>
      </c>
      <c r="G497" s="193" t="s">
        <v>115</v>
      </c>
      <c r="H497" s="193"/>
      <c r="I497" s="211">
        <v>12</v>
      </c>
      <c r="J497" s="221">
        <v>6</v>
      </c>
      <c r="K497" s="221">
        <v>1</v>
      </c>
      <c r="L497" s="195" t="s">
        <v>39</v>
      </c>
      <c r="M497" s="222">
        <f>J497*K497</f>
        <v>6</v>
      </c>
      <c r="N497" s="195" t="s">
        <v>139</v>
      </c>
      <c r="O497" s="233">
        <f>VLOOKUP(I497,BM!$B$3:$Y$62,22,FALSE)</f>
        <v>1.6</v>
      </c>
      <c r="P497" s="195" t="s">
        <v>112</v>
      </c>
      <c r="Q497" s="227">
        <f t="shared" si="102"/>
        <v>9.6000000000000014</v>
      </c>
      <c r="R497" s="226">
        <v>1</v>
      </c>
      <c r="S497" s="227">
        <f t="shared" si="105"/>
        <v>10.6</v>
      </c>
      <c r="T497" s="203" t="s">
        <v>48</v>
      </c>
      <c r="U497" s="183" t="str">
        <f t="shared" si="103"/>
        <v>10.6 Hrs</v>
      </c>
    </row>
    <row r="498" spans="3:21" s="172" customFormat="1" ht="20.25" customHeight="1">
      <c r="C498" s="185">
        <f>D498</f>
        <v>498</v>
      </c>
      <c r="D498" s="190">
        <f t="shared" si="100"/>
        <v>498</v>
      </c>
      <c r="E498" s="196" t="s">
        <v>501</v>
      </c>
      <c r="F498" s="197">
        <f>C494</f>
        <v>494</v>
      </c>
      <c r="G498" s="193"/>
      <c r="H498" s="193"/>
      <c r="I498" s="195"/>
      <c r="J498" s="195"/>
      <c r="K498" s="221"/>
      <c r="L498" s="195"/>
      <c r="M498" s="204"/>
      <c r="N498" s="195"/>
      <c r="O498" s="205"/>
      <c r="P498" s="195"/>
      <c r="Q498" s="227"/>
      <c r="R498" s="226"/>
      <c r="S498" s="227"/>
      <c r="T498" s="203"/>
      <c r="U498" s="183"/>
    </row>
    <row r="499" spans="3:21" s="172" customFormat="1" ht="20.25" customHeight="1">
      <c r="C499" s="185"/>
      <c r="D499" s="190">
        <f t="shared" si="100"/>
        <v>499</v>
      </c>
      <c r="E499" s="194" t="s">
        <v>502</v>
      </c>
      <c r="F499" s="198"/>
      <c r="G499" s="193" t="s">
        <v>149</v>
      </c>
      <c r="H499" s="193"/>
      <c r="I499" s="211">
        <v>18</v>
      </c>
      <c r="J499" s="221" t="s">
        <v>503</v>
      </c>
      <c r="K499" s="221">
        <v>1</v>
      </c>
      <c r="L499" s="195" t="s">
        <v>39</v>
      </c>
      <c r="M499" s="204">
        <v>1</v>
      </c>
      <c r="N499" s="195" t="s">
        <v>39</v>
      </c>
      <c r="O499" s="205">
        <v>8</v>
      </c>
      <c r="P499" s="195" t="s">
        <v>112</v>
      </c>
      <c r="Q499" s="227">
        <f t="shared" si="102"/>
        <v>8</v>
      </c>
      <c r="R499" s="226">
        <v>1</v>
      </c>
      <c r="S499" s="227">
        <f t="shared" si="105"/>
        <v>9</v>
      </c>
      <c r="T499" s="203" t="s">
        <v>48</v>
      </c>
      <c r="U499" s="183" t="str">
        <f t="shared" si="103"/>
        <v>9 Hrs</v>
      </c>
    </row>
    <row r="500" spans="3:21" s="172" customFormat="1" ht="20.25" customHeight="1">
      <c r="C500" s="185"/>
      <c r="D500" s="190">
        <f t="shared" si="100"/>
        <v>500</v>
      </c>
      <c r="E500" s="194" t="s">
        <v>504</v>
      </c>
      <c r="F500" s="198">
        <f t="shared" si="104"/>
        <v>499</v>
      </c>
      <c r="G500" s="193" t="s">
        <v>63</v>
      </c>
      <c r="H500" s="193"/>
      <c r="I500" s="211">
        <v>18</v>
      </c>
      <c r="J500" s="221" t="s">
        <v>503</v>
      </c>
      <c r="K500" s="221">
        <v>1</v>
      </c>
      <c r="L500" s="195" t="s">
        <v>39</v>
      </c>
      <c r="M500" s="204">
        <v>1</v>
      </c>
      <c r="N500" s="195" t="s">
        <v>39</v>
      </c>
      <c r="O500" s="205">
        <v>1</v>
      </c>
      <c r="P500" s="195" t="s">
        <v>41</v>
      </c>
      <c r="Q500" s="227">
        <f t="shared" si="102"/>
        <v>1</v>
      </c>
      <c r="R500" s="226"/>
      <c r="S500" s="227">
        <f t="shared" si="105"/>
        <v>1</v>
      </c>
      <c r="T500" s="203" t="s">
        <v>48</v>
      </c>
      <c r="U500" s="183" t="str">
        <f t="shared" si="103"/>
        <v>1 Hrs</v>
      </c>
    </row>
    <row r="501" spans="3:21" s="172" customFormat="1" ht="20.25" customHeight="1">
      <c r="C501" s="185">
        <f t="shared" ref="C501:C502" si="106">D501</f>
        <v>501</v>
      </c>
      <c r="D501" s="190">
        <f t="shared" si="100"/>
        <v>501</v>
      </c>
      <c r="E501" s="234" t="s">
        <v>505</v>
      </c>
      <c r="F501" s="197"/>
      <c r="G501" s="193"/>
      <c r="H501" s="193"/>
      <c r="I501" s="195"/>
      <c r="J501" s="195"/>
      <c r="K501" s="221"/>
      <c r="L501" s="195"/>
      <c r="M501" s="204"/>
      <c r="N501" s="195"/>
      <c r="O501" s="205"/>
      <c r="P501" s="195"/>
      <c r="Q501" s="227"/>
      <c r="R501" s="226"/>
      <c r="S501" s="227"/>
      <c r="T501" s="203"/>
      <c r="U501" s="183"/>
    </row>
    <row r="502" spans="3:21" s="172" customFormat="1" ht="20.25" customHeight="1">
      <c r="C502" s="185">
        <f t="shared" si="106"/>
        <v>502</v>
      </c>
      <c r="D502" s="190">
        <f t="shared" si="100"/>
        <v>502</v>
      </c>
      <c r="E502" s="196" t="s">
        <v>506</v>
      </c>
      <c r="F502" s="197">
        <v>7</v>
      </c>
      <c r="G502" s="193"/>
      <c r="H502" s="193"/>
      <c r="I502" s="195"/>
      <c r="J502" s="195"/>
      <c r="K502" s="221">
        <v>1</v>
      </c>
      <c r="L502" s="195" t="s">
        <v>39</v>
      </c>
      <c r="M502" s="204">
        <v>1</v>
      </c>
      <c r="N502" s="195" t="s">
        <v>39</v>
      </c>
      <c r="O502" s="205">
        <v>4</v>
      </c>
      <c r="P502" s="195" t="s">
        <v>41</v>
      </c>
      <c r="Q502" s="227">
        <f t="shared" si="102"/>
        <v>4</v>
      </c>
      <c r="R502" s="226"/>
      <c r="S502" s="227">
        <f t="shared" si="105"/>
        <v>4</v>
      </c>
      <c r="T502" s="203" t="s">
        <v>48</v>
      </c>
      <c r="U502" s="183" t="str">
        <f t="shared" si="103"/>
        <v>4 Hrs</v>
      </c>
    </row>
    <row r="503" spans="3:21" s="172" customFormat="1" ht="20.25" customHeight="1">
      <c r="C503" s="185"/>
      <c r="D503" s="190">
        <f t="shared" si="100"/>
        <v>503</v>
      </c>
      <c r="E503" s="194" t="s">
        <v>507</v>
      </c>
      <c r="F503" s="198"/>
      <c r="G503" s="193" t="s">
        <v>37</v>
      </c>
      <c r="H503" s="193"/>
      <c r="I503" s="211">
        <v>18</v>
      </c>
      <c r="J503" s="221" t="s">
        <v>508</v>
      </c>
      <c r="K503" s="221">
        <v>1</v>
      </c>
      <c r="L503" s="195" t="s">
        <v>81</v>
      </c>
      <c r="M503" s="214">
        <f>LEFT(J503,SEARCH(" ",J503,1)-1)*K503/1000</f>
        <v>0.373</v>
      </c>
      <c r="N503" s="195" t="s">
        <v>139</v>
      </c>
      <c r="O503" s="233">
        <f>VLOOKUP(I503,BM!$B$3:$Y$62,2,FALSE)</f>
        <v>0.1</v>
      </c>
      <c r="P503" s="195" t="s">
        <v>47</v>
      </c>
      <c r="Q503" s="227">
        <f t="shared" si="102"/>
        <v>3.73E-2</v>
      </c>
      <c r="R503" s="226">
        <v>1</v>
      </c>
      <c r="S503" s="227">
        <f t="shared" si="105"/>
        <v>1.04</v>
      </c>
      <c r="T503" s="203" t="s">
        <v>48</v>
      </c>
      <c r="U503" s="183" t="str">
        <f t="shared" si="103"/>
        <v>1.04 Hrs</v>
      </c>
    </row>
    <row r="504" spans="3:21" s="172" customFormat="1" ht="20.25" customHeight="1">
      <c r="C504" s="185"/>
      <c r="D504" s="190">
        <f t="shared" si="100"/>
        <v>504</v>
      </c>
      <c r="E504" s="194" t="s">
        <v>509</v>
      </c>
      <c r="F504" s="198">
        <f t="shared" si="104"/>
        <v>503</v>
      </c>
      <c r="G504" s="193" t="s">
        <v>201</v>
      </c>
      <c r="H504" s="193"/>
      <c r="I504" s="211">
        <v>18</v>
      </c>
      <c r="J504" s="221" t="s">
        <v>510</v>
      </c>
      <c r="K504" s="221">
        <v>1</v>
      </c>
      <c r="L504" s="195" t="s">
        <v>81</v>
      </c>
      <c r="M504" s="214">
        <f t="shared" ref="M504:M508" si="107">LEFT(J504,SEARCH(" ",J504,1)-1)*K504/1000</f>
        <v>11.3</v>
      </c>
      <c r="N504" s="195" t="s">
        <v>139</v>
      </c>
      <c r="O504" s="233">
        <f>VLOOKUP(I504,BM!$B$3:$Y$62,3,FALSE)</f>
        <v>0.25</v>
      </c>
      <c r="P504" s="195" t="s">
        <v>47</v>
      </c>
      <c r="Q504" s="227">
        <f t="shared" si="102"/>
        <v>2.8250000000000002</v>
      </c>
      <c r="R504" s="226">
        <v>1</v>
      </c>
      <c r="S504" s="227">
        <f t="shared" si="105"/>
        <v>3.83</v>
      </c>
      <c r="T504" s="203" t="s">
        <v>48</v>
      </c>
      <c r="U504" s="183" t="str">
        <f t="shared" si="103"/>
        <v>3.83 Hrs</v>
      </c>
    </row>
    <row r="505" spans="3:21" s="172" customFormat="1" ht="20.25" customHeight="1">
      <c r="C505" s="185"/>
      <c r="D505" s="190">
        <f t="shared" si="100"/>
        <v>505</v>
      </c>
      <c r="E505" s="194" t="s">
        <v>511</v>
      </c>
      <c r="F505" s="198">
        <f t="shared" si="104"/>
        <v>504</v>
      </c>
      <c r="G505" s="193" t="s">
        <v>52</v>
      </c>
      <c r="H505" s="193"/>
      <c r="I505" s="211">
        <v>18</v>
      </c>
      <c r="J505" s="195" t="str">
        <f t="shared" ref="J505:J508" si="108">J504</f>
        <v>11300 mm</v>
      </c>
      <c r="K505" s="221">
        <v>1</v>
      </c>
      <c r="L505" s="195" t="s">
        <v>81</v>
      </c>
      <c r="M505" s="214">
        <f t="shared" si="107"/>
        <v>11.3</v>
      </c>
      <c r="N505" s="195" t="s">
        <v>139</v>
      </c>
      <c r="O505" s="233">
        <f>VLOOKUP(I505,BM!$B$3:$Y$62,4,FALSE)</f>
        <v>0.15</v>
      </c>
      <c r="P505" s="195" t="s">
        <v>47</v>
      </c>
      <c r="Q505" s="227">
        <f t="shared" si="102"/>
        <v>1.6950000000000001</v>
      </c>
      <c r="R505" s="226">
        <v>1</v>
      </c>
      <c r="S505" s="227">
        <f t="shared" si="105"/>
        <v>2.7</v>
      </c>
      <c r="T505" s="203" t="s">
        <v>48</v>
      </c>
      <c r="U505" s="183" t="str">
        <f t="shared" si="103"/>
        <v>2.7 Hrs</v>
      </c>
    </row>
    <row r="506" spans="3:21" s="172" customFormat="1" ht="20.25" customHeight="1">
      <c r="C506" s="185"/>
      <c r="D506" s="190">
        <f t="shared" si="100"/>
        <v>506</v>
      </c>
      <c r="E506" s="194" t="s">
        <v>512</v>
      </c>
      <c r="F506" s="198">
        <f t="shared" si="104"/>
        <v>505</v>
      </c>
      <c r="G506" s="193" t="s">
        <v>61</v>
      </c>
      <c r="H506" s="193"/>
      <c r="I506" s="211">
        <v>18</v>
      </c>
      <c r="J506" s="195" t="str">
        <f t="shared" si="108"/>
        <v>11300 mm</v>
      </c>
      <c r="K506" s="221">
        <v>1</v>
      </c>
      <c r="L506" s="195" t="s">
        <v>81</v>
      </c>
      <c r="M506" s="214">
        <f t="shared" si="107"/>
        <v>11.3</v>
      </c>
      <c r="N506" s="195" t="s">
        <v>139</v>
      </c>
      <c r="O506" s="233">
        <f>VLOOKUP(I506,BM!$B$3:$Y$62,5,FALSE)</f>
        <v>0.5</v>
      </c>
      <c r="P506" s="195" t="s">
        <v>47</v>
      </c>
      <c r="Q506" s="227">
        <f t="shared" si="102"/>
        <v>5.65</v>
      </c>
      <c r="R506" s="226">
        <v>1</v>
      </c>
      <c r="S506" s="227">
        <f t="shared" si="105"/>
        <v>6.65</v>
      </c>
      <c r="T506" s="203" t="s">
        <v>48</v>
      </c>
      <c r="U506" s="183" t="str">
        <f t="shared" si="103"/>
        <v>6.65 Hrs</v>
      </c>
    </row>
    <row r="507" spans="3:21" s="172" customFormat="1" ht="20.25" customHeight="1">
      <c r="C507" s="185"/>
      <c r="D507" s="190">
        <f t="shared" si="100"/>
        <v>507</v>
      </c>
      <c r="E507" s="194" t="s">
        <v>513</v>
      </c>
      <c r="F507" s="198">
        <f t="shared" si="104"/>
        <v>506</v>
      </c>
      <c r="G507" s="193" t="s">
        <v>224</v>
      </c>
      <c r="H507" s="193"/>
      <c r="I507" s="211">
        <v>18</v>
      </c>
      <c r="J507" s="195" t="str">
        <f t="shared" si="108"/>
        <v>11300 mm</v>
      </c>
      <c r="K507" s="221">
        <v>1</v>
      </c>
      <c r="L507" s="195" t="s">
        <v>81</v>
      </c>
      <c r="M507" s="214">
        <f t="shared" si="107"/>
        <v>11.3</v>
      </c>
      <c r="N507" s="195" t="s">
        <v>139</v>
      </c>
      <c r="O507" s="233">
        <f>VLOOKUP(I507,BM!$B$3:$Y$62,6,FALSE)</f>
        <v>1</v>
      </c>
      <c r="P507" s="195" t="s">
        <v>47</v>
      </c>
      <c r="Q507" s="227">
        <f t="shared" si="102"/>
        <v>11.3</v>
      </c>
      <c r="R507" s="226">
        <v>1</v>
      </c>
      <c r="S507" s="227">
        <f t="shared" si="105"/>
        <v>12.3</v>
      </c>
      <c r="T507" s="203" t="s">
        <v>48</v>
      </c>
      <c r="U507" s="183" t="str">
        <f t="shared" si="103"/>
        <v>12.3 Hrs</v>
      </c>
    </row>
    <row r="508" spans="3:21" s="172" customFormat="1" ht="20.25" customHeight="1">
      <c r="C508" s="185"/>
      <c r="D508" s="190">
        <f t="shared" si="100"/>
        <v>508</v>
      </c>
      <c r="E508" s="194" t="s">
        <v>416</v>
      </c>
      <c r="F508" s="198">
        <f t="shared" si="104"/>
        <v>507</v>
      </c>
      <c r="G508" s="193" t="s">
        <v>61</v>
      </c>
      <c r="H508" s="193"/>
      <c r="I508" s="211">
        <v>18</v>
      </c>
      <c r="J508" s="195" t="str">
        <f t="shared" si="108"/>
        <v>11300 mm</v>
      </c>
      <c r="K508" s="221">
        <v>1</v>
      </c>
      <c r="L508" s="195" t="s">
        <v>81</v>
      </c>
      <c r="M508" s="214">
        <f t="shared" si="107"/>
        <v>11.3</v>
      </c>
      <c r="N508" s="195" t="s">
        <v>139</v>
      </c>
      <c r="O508" s="233">
        <f>VLOOKUP(I508,BM!$B$3:$Y$62,6,FALSE)</f>
        <v>1</v>
      </c>
      <c r="P508" s="195" t="s">
        <v>47</v>
      </c>
      <c r="Q508" s="227">
        <f t="shared" si="102"/>
        <v>11.3</v>
      </c>
      <c r="R508" s="226">
        <v>1</v>
      </c>
      <c r="S508" s="227">
        <f t="shared" si="105"/>
        <v>12.3</v>
      </c>
      <c r="T508" s="203" t="s">
        <v>48</v>
      </c>
      <c r="U508" s="183" t="str">
        <f t="shared" si="103"/>
        <v>12.3 Hrs</v>
      </c>
    </row>
    <row r="509" spans="3:21" s="172" customFormat="1" ht="20.25" customHeight="1">
      <c r="C509" s="185">
        <f>D509</f>
        <v>509</v>
      </c>
      <c r="D509" s="190">
        <f t="shared" si="100"/>
        <v>509</v>
      </c>
      <c r="E509" s="196" t="s">
        <v>514</v>
      </c>
      <c r="F509" s="197">
        <f>C502</f>
        <v>502</v>
      </c>
      <c r="G509" s="193"/>
      <c r="H509" s="193"/>
      <c r="I509" s="195"/>
      <c r="J509" s="195"/>
      <c r="K509" s="221"/>
      <c r="L509" s="195"/>
      <c r="M509" s="204"/>
      <c r="N509" s="195"/>
      <c r="O509" s="205"/>
      <c r="P509" s="195"/>
      <c r="Q509" s="227"/>
      <c r="R509" s="226"/>
      <c r="S509" s="227"/>
      <c r="T509" s="203"/>
      <c r="U509" s="183"/>
    </row>
    <row r="510" spans="3:21" s="172" customFormat="1" ht="20.25" customHeight="1">
      <c r="C510" s="185"/>
      <c r="D510" s="190">
        <f t="shared" si="100"/>
        <v>510</v>
      </c>
      <c r="E510" s="194" t="s">
        <v>515</v>
      </c>
      <c r="F510" s="198"/>
      <c r="G510" s="193" t="s">
        <v>286</v>
      </c>
      <c r="H510" s="193"/>
      <c r="I510" s="220">
        <f>I508</f>
        <v>18</v>
      </c>
      <c r="J510" s="212" t="s">
        <v>516</v>
      </c>
      <c r="K510" s="221">
        <v>1</v>
      </c>
      <c r="L510" s="195" t="s">
        <v>81</v>
      </c>
      <c r="M510" s="204">
        <v>1</v>
      </c>
      <c r="N510" s="195" t="s">
        <v>139</v>
      </c>
      <c r="O510" s="205">
        <v>3</v>
      </c>
      <c r="P510" s="195" t="s">
        <v>112</v>
      </c>
      <c r="Q510" s="227">
        <f t="shared" si="102"/>
        <v>3</v>
      </c>
      <c r="R510" s="226">
        <v>1</v>
      </c>
      <c r="S510" s="227">
        <f t="shared" si="105"/>
        <v>4</v>
      </c>
      <c r="T510" s="203" t="s">
        <v>48</v>
      </c>
      <c r="U510" s="183" t="str">
        <f t="shared" si="103"/>
        <v>4 Hrs</v>
      </c>
    </row>
    <row r="511" spans="3:21" s="172" customFormat="1" ht="20.25" customHeight="1">
      <c r="C511" s="185"/>
      <c r="D511" s="190">
        <f t="shared" si="100"/>
        <v>511</v>
      </c>
      <c r="E511" s="194" t="s">
        <v>517</v>
      </c>
      <c r="F511" s="198">
        <f t="shared" si="104"/>
        <v>510</v>
      </c>
      <c r="G511" s="193" t="s">
        <v>420</v>
      </c>
      <c r="H511" s="193"/>
      <c r="I511" s="220">
        <f t="shared" ref="I511:J513" si="109">I510</f>
        <v>18</v>
      </c>
      <c r="J511" s="198" t="str">
        <f t="shared" si="109"/>
        <v>1664 mm id</v>
      </c>
      <c r="K511" s="221">
        <v>1</v>
      </c>
      <c r="L511" s="195" t="s">
        <v>81</v>
      </c>
      <c r="M511" s="214">
        <f>LEFT(J511,SEARCH(" ",J511,1)-1)*K511*2/1000</f>
        <v>3.3279999999999998</v>
      </c>
      <c r="N511" s="195" t="s">
        <v>39</v>
      </c>
      <c r="O511" s="233">
        <f>VLOOKUP(I511,BM!$B$3:$Y$62,8,FALSE)</f>
        <v>0.3</v>
      </c>
      <c r="P511" s="195" t="s">
        <v>112</v>
      </c>
      <c r="Q511" s="227">
        <f t="shared" si="102"/>
        <v>0.99839999999999995</v>
      </c>
      <c r="R511" s="226">
        <v>1</v>
      </c>
      <c r="S511" s="227">
        <f t="shared" si="105"/>
        <v>2</v>
      </c>
      <c r="T511" s="203" t="s">
        <v>48</v>
      </c>
      <c r="U511" s="183" t="str">
        <f t="shared" si="103"/>
        <v>2 Hrs</v>
      </c>
    </row>
    <row r="512" spans="3:21" s="172" customFormat="1" ht="20.25" customHeight="1">
      <c r="C512" s="185"/>
      <c r="D512" s="190">
        <f t="shared" si="100"/>
        <v>512</v>
      </c>
      <c r="E512" s="194" t="s">
        <v>518</v>
      </c>
      <c r="F512" s="198">
        <f t="shared" si="104"/>
        <v>511</v>
      </c>
      <c r="G512" s="193" t="s">
        <v>348</v>
      </c>
      <c r="H512" s="193"/>
      <c r="I512" s="220">
        <f t="shared" si="109"/>
        <v>18</v>
      </c>
      <c r="J512" s="198" t="str">
        <f t="shared" si="109"/>
        <v>1664 mm id</v>
      </c>
      <c r="K512" s="221">
        <v>1</v>
      </c>
      <c r="L512" s="195" t="s">
        <v>81</v>
      </c>
      <c r="M512" s="214">
        <f>LEFT(J512,SEARCH(" ",J512,1)-1)*K512*2/1000</f>
        <v>3.3279999999999998</v>
      </c>
      <c r="N512" s="195" t="s">
        <v>139</v>
      </c>
      <c r="O512" s="233">
        <f>VLOOKUP(I512,BM!$B$3:$Y$62,9,FALSE)</f>
        <v>1</v>
      </c>
      <c r="P512" s="195" t="s">
        <v>112</v>
      </c>
      <c r="Q512" s="227">
        <f t="shared" si="102"/>
        <v>3.3279999999999998</v>
      </c>
      <c r="R512" s="226">
        <v>1</v>
      </c>
      <c r="S512" s="227">
        <f t="shared" si="105"/>
        <v>4.33</v>
      </c>
      <c r="T512" s="203" t="s">
        <v>48</v>
      </c>
      <c r="U512" s="183" t="str">
        <f t="shared" si="103"/>
        <v>4.33 Hrs</v>
      </c>
    </row>
    <row r="513" spans="3:21" s="172" customFormat="1" ht="20.25" customHeight="1">
      <c r="C513" s="185"/>
      <c r="D513" s="190">
        <f t="shared" si="100"/>
        <v>513</v>
      </c>
      <c r="E513" s="194" t="s">
        <v>519</v>
      </c>
      <c r="F513" s="198">
        <f t="shared" si="104"/>
        <v>512</v>
      </c>
      <c r="G513" s="193" t="s">
        <v>286</v>
      </c>
      <c r="H513" s="193"/>
      <c r="I513" s="220">
        <f t="shared" si="109"/>
        <v>18</v>
      </c>
      <c r="J513" s="198" t="str">
        <f t="shared" si="109"/>
        <v>1664 mm id</v>
      </c>
      <c r="K513" s="221">
        <v>1</v>
      </c>
      <c r="L513" s="195" t="s">
        <v>81</v>
      </c>
      <c r="M513" s="214">
        <v>1</v>
      </c>
      <c r="N513" s="195" t="s">
        <v>39</v>
      </c>
      <c r="O513" s="205">
        <v>3</v>
      </c>
      <c r="P513" s="195" t="s">
        <v>112</v>
      </c>
      <c r="Q513" s="227">
        <f t="shared" si="102"/>
        <v>3</v>
      </c>
      <c r="R513" s="226">
        <v>1</v>
      </c>
      <c r="S513" s="227">
        <f t="shared" si="105"/>
        <v>4</v>
      </c>
      <c r="T513" s="203" t="s">
        <v>48</v>
      </c>
      <c r="U513" s="183" t="str">
        <f t="shared" si="103"/>
        <v>4 Hrs</v>
      </c>
    </row>
    <row r="514" spans="3:21" s="172" customFormat="1" ht="20.25" customHeight="1">
      <c r="C514" s="185">
        <f>D514</f>
        <v>514</v>
      </c>
      <c r="D514" s="190">
        <f t="shared" si="100"/>
        <v>514</v>
      </c>
      <c r="E514" s="196" t="s">
        <v>520</v>
      </c>
      <c r="F514" s="197">
        <f>C509</f>
        <v>509</v>
      </c>
      <c r="G514" s="193"/>
      <c r="H514" s="193"/>
      <c r="I514" s="195"/>
      <c r="J514" s="195"/>
      <c r="K514" s="221"/>
      <c r="L514" s="195"/>
      <c r="M514" s="204"/>
      <c r="N514" s="195"/>
      <c r="O514" s="205"/>
      <c r="P514" s="195"/>
      <c r="Q514" s="227"/>
      <c r="R514" s="226"/>
      <c r="S514" s="227"/>
      <c r="T514" s="203"/>
      <c r="U514" s="183"/>
    </row>
    <row r="515" spans="3:21" s="172" customFormat="1" ht="20.25" customHeight="1">
      <c r="C515" s="185"/>
      <c r="D515" s="190">
        <f t="shared" ref="D515:D578" si="110">D514+1</f>
        <v>515</v>
      </c>
      <c r="E515" s="194" t="s">
        <v>521</v>
      </c>
      <c r="F515" s="198"/>
      <c r="G515" s="193" t="s">
        <v>348</v>
      </c>
      <c r="H515" s="193"/>
      <c r="I515" s="220">
        <f>I513</f>
        <v>18</v>
      </c>
      <c r="J515" s="198" t="str">
        <f>J513</f>
        <v>1664 mm id</v>
      </c>
      <c r="K515" s="221">
        <v>1</v>
      </c>
      <c r="L515" s="195" t="s">
        <v>81</v>
      </c>
      <c r="M515" s="214">
        <f t="shared" ref="M515" si="111">LEFT(J515,SEARCH(" ",J515,1)-1)*K515*2/1000</f>
        <v>3.3279999999999998</v>
      </c>
      <c r="N515" s="195" t="s">
        <v>139</v>
      </c>
      <c r="O515" s="233">
        <f>VLOOKUP(I515,BM!$B$3:$Y$62,9,FALSE)</f>
        <v>1</v>
      </c>
      <c r="P515" s="195" t="s">
        <v>112</v>
      </c>
      <c r="Q515" s="227">
        <f t="shared" si="102"/>
        <v>3.3279999999999998</v>
      </c>
      <c r="R515" s="226">
        <v>1</v>
      </c>
      <c r="S515" s="227">
        <f t="shared" si="105"/>
        <v>4.33</v>
      </c>
      <c r="T515" s="203" t="s">
        <v>48</v>
      </c>
      <c r="U515" s="183" t="str">
        <f t="shared" si="103"/>
        <v>4.33 Hrs</v>
      </c>
    </row>
    <row r="516" spans="3:21" s="172" customFormat="1" ht="20.25" customHeight="1">
      <c r="C516" s="185"/>
      <c r="D516" s="190">
        <f t="shared" si="110"/>
        <v>516</v>
      </c>
      <c r="E516" s="194" t="s">
        <v>522</v>
      </c>
      <c r="F516" s="198">
        <f t="shared" si="104"/>
        <v>515</v>
      </c>
      <c r="G516" s="193" t="s">
        <v>111</v>
      </c>
      <c r="H516" s="193"/>
      <c r="I516" s="220">
        <f>I515</f>
        <v>18</v>
      </c>
      <c r="J516" s="198" t="str">
        <f>J513</f>
        <v>1664 mm id</v>
      </c>
      <c r="K516" s="221">
        <v>1</v>
      </c>
      <c r="L516" s="195" t="s">
        <v>81</v>
      </c>
      <c r="M516" s="214">
        <f>LEFT(J516,SEARCH(" ",J516,1)-1)*K516/1000</f>
        <v>1.6639999999999999</v>
      </c>
      <c r="N516" s="195" t="s">
        <v>139</v>
      </c>
      <c r="O516" s="233">
        <f>VLOOKUP(I516,BM!$B$3:$Y$62,10,FALSE)</f>
        <v>1</v>
      </c>
      <c r="P516" s="195" t="s">
        <v>112</v>
      </c>
      <c r="Q516" s="227">
        <f t="shared" si="102"/>
        <v>1.6639999999999999</v>
      </c>
      <c r="R516" s="226">
        <v>1</v>
      </c>
      <c r="S516" s="227">
        <f t="shared" si="105"/>
        <v>2.66</v>
      </c>
      <c r="T516" s="203" t="s">
        <v>48</v>
      </c>
      <c r="U516" s="183" t="str">
        <f t="shared" si="103"/>
        <v>2.66 Hrs</v>
      </c>
    </row>
    <row r="517" spans="3:21" s="172" customFormat="1" ht="20.25" customHeight="1">
      <c r="C517" s="185">
        <f>D517</f>
        <v>517</v>
      </c>
      <c r="D517" s="190">
        <f t="shared" si="110"/>
        <v>517</v>
      </c>
      <c r="E517" s="196" t="s">
        <v>523</v>
      </c>
      <c r="F517" s="197">
        <f>C514</f>
        <v>514</v>
      </c>
      <c r="G517" s="193"/>
      <c r="H517" s="193"/>
      <c r="I517" s="195"/>
      <c r="J517" s="195"/>
      <c r="K517" s="221"/>
      <c r="L517" s="195"/>
      <c r="M517" s="204"/>
      <c r="N517" s="195"/>
      <c r="O517" s="205"/>
      <c r="P517" s="195"/>
      <c r="Q517" s="227"/>
      <c r="R517" s="226"/>
      <c r="S517" s="227"/>
      <c r="T517" s="203"/>
      <c r="U517" s="183"/>
    </row>
    <row r="518" spans="3:21" s="172" customFormat="1" ht="20.25" customHeight="1">
      <c r="C518" s="185"/>
      <c r="D518" s="190">
        <f t="shared" si="110"/>
        <v>518</v>
      </c>
      <c r="E518" s="194" t="s">
        <v>524</v>
      </c>
      <c r="F518" s="198"/>
      <c r="G518" s="193" t="s">
        <v>201</v>
      </c>
      <c r="H518" s="193"/>
      <c r="I518" s="220">
        <f>I516</f>
        <v>18</v>
      </c>
      <c r="J518" s="198" t="str">
        <f t="shared" ref="J518" si="112">J516</f>
        <v>1664 mm id</v>
      </c>
      <c r="K518" s="221">
        <v>1</v>
      </c>
      <c r="L518" s="195" t="s">
        <v>81</v>
      </c>
      <c r="M518" s="204">
        <v>1</v>
      </c>
      <c r="N518" s="195" t="s">
        <v>39</v>
      </c>
      <c r="O518" s="205">
        <v>1</v>
      </c>
      <c r="P518" s="195" t="s">
        <v>112</v>
      </c>
      <c r="Q518" s="227">
        <f t="shared" si="102"/>
        <v>1</v>
      </c>
      <c r="R518" s="226">
        <v>1</v>
      </c>
      <c r="S518" s="227">
        <f t="shared" si="105"/>
        <v>2</v>
      </c>
      <c r="T518" s="203" t="s">
        <v>48</v>
      </c>
      <c r="U518" s="183" t="str">
        <f t="shared" si="103"/>
        <v>2 Hrs</v>
      </c>
    </row>
    <row r="519" spans="3:21" s="172" customFormat="1" ht="20.25" customHeight="1">
      <c r="C519" s="185"/>
      <c r="D519" s="190">
        <f t="shared" si="110"/>
        <v>519</v>
      </c>
      <c r="E519" s="194" t="s">
        <v>525</v>
      </c>
      <c r="F519" s="198">
        <f t="shared" si="104"/>
        <v>518</v>
      </c>
      <c r="G519" s="193" t="s">
        <v>115</v>
      </c>
      <c r="H519" s="193"/>
      <c r="I519" s="211">
        <v>12</v>
      </c>
      <c r="J519" s="198" t="str">
        <f t="shared" ref="J519:J523" si="113">J518</f>
        <v>1664 mm id</v>
      </c>
      <c r="K519" s="221">
        <v>1</v>
      </c>
      <c r="L519" s="195" t="s">
        <v>81</v>
      </c>
      <c r="M519" s="214">
        <f t="shared" ref="M519:M522" si="114">LEFT(J519,SEARCH(" ",J519,1)-1)*K519/1000</f>
        <v>1.6639999999999999</v>
      </c>
      <c r="N519" s="195" t="s">
        <v>139</v>
      </c>
      <c r="O519" s="233">
        <f>VLOOKUP(I519,BM!$B$3:$Y$62,12,FALSE)</f>
        <v>2.5</v>
      </c>
      <c r="P519" s="195" t="s">
        <v>112</v>
      </c>
      <c r="Q519" s="227">
        <f t="shared" si="102"/>
        <v>4.16</v>
      </c>
      <c r="R519" s="226">
        <v>1</v>
      </c>
      <c r="S519" s="227">
        <f t="shared" si="105"/>
        <v>5.16</v>
      </c>
      <c r="T519" s="203" t="s">
        <v>48</v>
      </c>
      <c r="U519" s="183" t="str">
        <f t="shared" si="103"/>
        <v>5.16 Hrs</v>
      </c>
    </row>
    <row r="520" spans="3:21" s="172" customFormat="1" ht="20.25" customHeight="1">
      <c r="C520" s="185"/>
      <c r="D520" s="190">
        <f t="shared" si="110"/>
        <v>520</v>
      </c>
      <c r="E520" s="194" t="s">
        <v>526</v>
      </c>
      <c r="F520" s="198">
        <f t="shared" si="104"/>
        <v>519</v>
      </c>
      <c r="G520" s="193" t="s">
        <v>121</v>
      </c>
      <c r="H520" s="193"/>
      <c r="I520" s="211">
        <v>18</v>
      </c>
      <c r="J520" s="198" t="str">
        <f t="shared" si="113"/>
        <v>1664 mm id</v>
      </c>
      <c r="K520" s="221">
        <v>1</v>
      </c>
      <c r="L520" s="195" t="s">
        <v>81</v>
      </c>
      <c r="M520" s="214">
        <f t="shared" si="114"/>
        <v>1.6639999999999999</v>
      </c>
      <c r="N520" s="195" t="s">
        <v>139</v>
      </c>
      <c r="O520" s="233">
        <f>VLOOKUP(I520,BM!$B$3:$Y$62,18,FALSE)</f>
        <v>1</v>
      </c>
      <c r="P520" s="195" t="s">
        <v>112</v>
      </c>
      <c r="Q520" s="227">
        <f t="shared" si="102"/>
        <v>1.6639999999999999</v>
      </c>
      <c r="R520" s="226">
        <v>1</v>
      </c>
      <c r="S520" s="227">
        <f t="shared" si="105"/>
        <v>2.66</v>
      </c>
      <c r="T520" s="203" t="s">
        <v>48</v>
      </c>
      <c r="U520" s="183" t="str">
        <f t="shared" si="103"/>
        <v>2.66 Hrs</v>
      </c>
    </row>
    <row r="521" spans="3:21" s="172" customFormat="1" ht="20.25" customHeight="1">
      <c r="C521" s="185"/>
      <c r="D521" s="190">
        <f t="shared" si="110"/>
        <v>521</v>
      </c>
      <c r="E521" s="194" t="s">
        <v>527</v>
      </c>
      <c r="F521" s="198">
        <f t="shared" si="104"/>
        <v>520</v>
      </c>
      <c r="G521" s="193" t="s">
        <v>115</v>
      </c>
      <c r="H521" s="193"/>
      <c r="I521" s="211">
        <v>6</v>
      </c>
      <c r="J521" s="198" t="str">
        <f t="shared" si="113"/>
        <v>1664 mm id</v>
      </c>
      <c r="K521" s="221">
        <v>1</v>
      </c>
      <c r="L521" s="195" t="s">
        <v>81</v>
      </c>
      <c r="M521" s="214">
        <f t="shared" si="114"/>
        <v>1.6639999999999999</v>
      </c>
      <c r="N521" s="195" t="s">
        <v>139</v>
      </c>
      <c r="O521" s="233">
        <f>VLOOKUP(I521,BM!$B$3:$Y$62,12,FALSE)</f>
        <v>0.9</v>
      </c>
      <c r="P521" s="195" t="s">
        <v>112</v>
      </c>
      <c r="Q521" s="227">
        <f t="shared" si="102"/>
        <v>1.4976</v>
      </c>
      <c r="R521" s="226">
        <v>1</v>
      </c>
      <c r="S521" s="227">
        <f t="shared" si="105"/>
        <v>2.5</v>
      </c>
      <c r="T521" s="203" t="s">
        <v>48</v>
      </c>
      <c r="U521" s="183" t="str">
        <f t="shared" si="103"/>
        <v>2.5 Hrs</v>
      </c>
    </row>
    <row r="522" spans="3:21" s="172" customFormat="1" ht="20.25" customHeight="1">
      <c r="C522" s="185"/>
      <c r="D522" s="190">
        <f t="shared" si="110"/>
        <v>522</v>
      </c>
      <c r="E522" s="194" t="s">
        <v>528</v>
      </c>
      <c r="F522" s="198">
        <f t="shared" si="104"/>
        <v>521</v>
      </c>
      <c r="G522" s="193" t="s">
        <v>61</v>
      </c>
      <c r="H522" s="193"/>
      <c r="I522" s="211">
        <v>6</v>
      </c>
      <c r="J522" s="198" t="str">
        <f t="shared" si="113"/>
        <v>1664 mm id</v>
      </c>
      <c r="K522" s="221">
        <v>1</v>
      </c>
      <c r="L522" s="195" t="s">
        <v>81</v>
      </c>
      <c r="M522" s="214">
        <f t="shared" si="114"/>
        <v>1.6639999999999999</v>
      </c>
      <c r="N522" s="195" t="s">
        <v>139</v>
      </c>
      <c r="O522" s="233">
        <f>VLOOKUP(I522,BM!$B$3:$Y$62,20,FALSE)</f>
        <v>0.5</v>
      </c>
      <c r="P522" s="195" t="s">
        <v>112</v>
      </c>
      <c r="Q522" s="227">
        <f t="shared" si="102"/>
        <v>0.83199999999999996</v>
      </c>
      <c r="R522" s="226">
        <v>1</v>
      </c>
      <c r="S522" s="227">
        <f t="shared" si="105"/>
        <v>1.83</v>
      </c>
      <c r="T522" s="203" t="s">
        <v>48</v>
      </c>
      <c r="U522" s="183" t="str">
        <f t="shared" si="103"/>
        <v>1.83 Hrs</v>
      </c>
    </row>
    <row r="523" spans="3:21" s="172" customFormat="1" ht="20.25" customHeight="1">
      <c r="C523" s="185"/>
      <c r="D523" s="190">
        <f t="shared" si="110"/>
        <v>523</v>
      </c>
      <c r="E523" s="194" t="s">
        <v>529</v>
      </c>
      <c r="F523" s="198">
        <f t="shared" si="104"/>
        <v>522</v>
      </c>
      <c r="G523" s="193" t="s">
        <v>286</v>
      </c>
      <c r="H523" s="193"/>
      <c r="I523" s="211">
        <v>18</v>
      </c>
      <c r="J523" s="198" t="str">
        <f t="shared" si="113"/>
        <v>1664 mm id</v>
      </c>
      <c r="K523" s="221">
        <v>1</v>
      </c>
      <c r="L523" s="195" t="s">
        <v>81</v>
      </c>
      <c r="M523" s="204">
        <v>1</v>
      </c>
      <c r="N523" s="195" t="s">
        <v>139</v>
      </c>
      <c r="O523" s="205">
        <v>3</v>
      </c>
      <c r="P523" s="195" t="s">
        <v>112</v>
      </c>
      <c r="Q523" s="227">
        <f t="shared" si="102"/>
        <v>3</v>
      </c>
      <c r="R523" s="226">
        <v>1</v>
      </c>
      <c r="S523" s="227">
        <f t="shared" si="105"/>
        <v>4</v>
      </c>
      <c r="T523" s="203" t="s">
        <v>48</v>
      </c>
      <c r="U523" s="183" t="str">
        <f t="shared" si="103"/>
        <v>4 Hrs</v>
      </c>
    </row>
    <row r="524" spans="3:21" s="172" customFormat="1" ht="20.25" customHeight="1">
      <c r="C524" s="185">
        <f>D524</f>
        <v>524</v>
      </c>
      <c r="D524" s="190">
        <f t="shared" si="110"/>
        <v>524</v>
      </c>
      <c r="E524" s="196" t="s">
        <v>530</v>
      </c>
      <c r="F524" s="197"/>
      <c r="G524" s="193"/>
      <c r="H524" s="193"/>
      <c r="I524" s="195"/>
      <c r="J524" s="195"/>
      <c r="K524" s="221"/>
      <c r="L524" s="195"/>
      <c r="M524" s="204"/>
      <c r="N524" s="195"/>
      <c r="O524" s="205"/>
      <c r="P524" s="195"/>
      <c r="Q524" s="227"/>
      <c r="R524" s="226"/>
      <c r="S524" s="227"/>
      <c r="T524" s="203"/>
      <c r="U524" s="183"/>
    </row>
    <row r="525" spans="3:21" s="172" customFormat="1" ht="20.25" customHeight="1">
      <c r="C525" s="185"/>
      <c r="D525" s="190">
        <f t="shared" si="110"/>
        <v>525</v>
      </c>
      <c r="E525" s="194" t="s">
        <v>531</v>
      </c>
      <c r="F525" s="198"/>
      <c r="G525" s="193" t="s">
        <v>312</v>
      </c>
      <c r="H525" s="193"/>
      <c r="I525" s="220">
        <f>I523</f>
        <v>18</v>
      </c>
      <c r="J525" s="198" t="str">
        <f t="shared" ref="J525:M525" si="115">J523</f>
        <v>1664 mm id</v>
      </c>
      <c r="K525" s="212">
        <f t="shared" si="115"/>
        <v>1</v>
      </c>
      <c r="L525" s="198" t="str">
        <f t="shared" si="115"/>
        <v>Nos</v>
      </c>
      <c r="M525" s="198">
        <f t="shared" si="115"/>
        <v>1</v>
      </c>
      <c r="N525" s="195" t="s">
        <v>39</v>
      </c>
      <c r="O525" s="205">
        <v>1</v>
      </c>
      <c r="P525" s="195" t="s">
        <v>41</v>
      </c>
      <c r="Q525" s="227">
        <f t="shared" si="102"/>
        <v>1</v>
      </c>
      <c r="R525" s="198"/>
      <c r="S525" s="227">
        <f t="shared" si="105"/>
        <v>1</v>
      </c>
      <c r="T525" s="203" t="s">
        <v>42</v>
      </c>
      <c r="U525" s="183" t="str">
        <f t="shared" si="103"/>
        <v>1 Days</v>
      </c>
    </row>
    <row r="526" spans="3:21" s="172" customFormat="1" ht="20.25" customHeight="1">
      <c r="C526" s="185">
        <f>D526</f>
        <v>526</v>
      </c>
      <c r="D526" s="190">
        <f t="shared" si="110"/>
        <v>526</v>
      </c>
      <c r="E526" s="196" t="s">
        <v>532</v>
      </c>
      <c r="F526" s="197">
        <f>C524</f>
        <v>524</v>
      </c>
      <c r="G526" s="193"/>
      <c r="H526" s="193"/>
      <c r="I526" s="195"/>
      <c r="J526" s="195"/>
      <c r="K526" s="221"/>
      <c r="L526" s="195"/>
      <c r="M526" s="204"/>
      <c r="N526" s="195"/>
      <c r="O526" s="205"/>
      <c r="P526" s="195"/>
      <c r="Q526" s="227"/>
      <c r="R526" s="226"/>
      <c r="S526" s="227"/>
      <c r="T526" s="203"/>
      <c r="U526" s="183"/>
    </row>
    <row r="527" spans="3:21" s="172" customFormat="1" ht="20.25" customHeight="1">
      <c r="C527" s="185"/>
      <c r="D527" s="190">
        <f t="shared" si="110"/>
        <v>527</v>
      </c>
      <c r="E527" s="194" t="s">
        <v>533</v>
      </c>
      <c r="F527" s="198"/>
      <c r="G527" s="193" t="s">
        <v>348</v>
      </c>
      <c r="H527" s="193"/>
      <c r="I527" s="211">
        <v>18</v>
      </c>
      <c r="J527" s="198" t="str">
        <f>J525</f>
        <v>1664 mm id</v>
      </c>
      <c r="K527" s="221">
        <v>1</v>
      </c>
      <c r="L527" s="195" t="s">
        <v>81</v>
      </c>
      <c r="M527" s="214">
        <f>LEFT(J527,SEARCH(" ",J527,1)-1)*K527*3.142/1000</f>
        <v>5.2282879999999992</v>
      </c>
      <c r="N527" s="195" t="s">
        <v>139</v>
      </c>
      <c r="O527" s="233">
        <f>VLOOKUP(I527,BM!$B$3:$Y$62,15,FALSE)</f>
        <v>1</v>
      </c>
      <c r="P527" s="195" t="s">
        <v>112</v>
      </c>
      <c r="Q527" s="227">
        <f t="shared" si="102"/>
        <v>5.2282879999999992</v>
      </c>
      <c r="R527" s="226">
        <v>1</v>
      </c>
      <c r="S527" s="227">
        <f t="shared" si="105"/>
        <v>6.23</v>
      </c>
      <c r="T527" s="203" t="s">
        <v>48</v>
      </c>
      <c r="U527" s="183" t="str">
        <f t="shared" si="103"/>
        <v>6.23 Hrs</v>
      </c>
    </row>
    <row r="528" spans="3:21" s="172" customFormat="1" ht="20.25" customHeight="1">
      <c r="C528" s="185"/>
      <c r="D528" s="190">
        <f t="shared" si="110"/>
        <v>528</v>
      </c>
      <c r="E528" s="194" t="s">
        <v>534</v>
      </c>
      <c r="F528" s="198">
        <f t="shared" si="104"/>
        <v>527</v>
      </c>
      <c r="G528" s="193" t="s">
        <v>111</v>
      </c>
      <c r="H528" s="193"/>
      <c r="I528" s="211">
        <v>18</v>
      </c>
      <c r="J528" s="198" t="str">
        <f>J527</f>
        <v>1664 mm id</v>
      </c>
      <c r="K528" s="221">
        <v>1</v>
      </c>
      <c r="L528" s="195" t="s">
        <v>81</v>
      </c>
      <c r="M528" s="214">
        <f>LEFT(J528,SEARCH(" ",J528,1)-1)*K528*3.142/1000</f>
        <v>5.2282879999999992</v>
      </c>
      <c r="N528" s="195" t="s">
        <v>39</v>
      </c>
      <c r="O528" s="233">
        <f>VLOOKUP(I528,BM!$B$3:$Y$62,16,FALSE)</f>
        <v>1</v>
      </c>
      <c r="P528" s="195" t="s">
        <v>112</v>
      </c>
      <c r="Q528" s="227">
        <f t="shared" si="102"/>
        <v>5.2282879999999992</v>
      </c>
      <c r="R528" s="226">
        <v>1</v>
      </c>
      <c r="S528" s="227">
        <f t="shared" si="105"/>
        <v>6.23</v>
      </c>
      <c r="T528" s="203" t="s">
        <v>48</v>
      </c>
      <c r="U528" s="183" t="str">
        <f t="shared" si="103"/>
        <v>6.23 Hrs</v>
      </c>
    </row>
    <row r="529" spans="3:21" s="172" customFormat="1" ht="20.25" customHeight="1">
      <c r="C529" s="185"/>
      <c r="D529" s="190">
        <f t="shared" si="110"/>
        <v>529</v>
      </c>
      <c r="E529" s="194" t="s">
        <v>535</v>
      </c>
      <c r="F529" s="198">
        <f t="shared" si="104"/>
        <v>528</v>
      </c>
      <c r="G529" s="193" t="s">
        <v>44</v>
      </c>
      <c r="H529" s="193"/>
      <c r="I529" s="211">
        <v>18</v>
      </c>
      <c r="J529" s="198" t="str">
        <f>J528</f>
        <v>1664 mm id</v>
      </c>
      <c r="K529" s="221">
        <v>1</v>
      </c>
      <c r="L529" s="195" t="s">
        <v>81</v>
      </c>
      <c r="M529" s="214">
        <f t="shared" ref="M529" si="116">LEFT(J529,SEARCH(" ",J529,1)-1)*K529*3.142/1000</f>
        <v>5.2282879999999992</v>
      </c>
      <c r="N529" s="195" t="s">
        <v>50</v>
      </c>
      <c r="O529" s="205">
        <v>0.25</v>
      </c>
      <c r="P529" s="195" t="s">
        <v>112</v>
      </c>
      <c r="Q529" s="227">
        <f t="shared" si="102"/>
        <v>1.3070719999999998</v>
      </c>
      <c r="R529" s="226">
        <v>1</v>
      </c>
      <c r="S529" s="227">
        <f t="shared" si="105"/>
        <v>2.31</v>
      </c>
      <c r="T529" s="203" t="s">
        <v>48</v>
      </c>
      <c r="U529" s="183" t="str">
        <f t="shared" si="103"/>
        <v>2.31 Hrs</v>
      </c>
    </row>
    <row r="530" spans="3:21" s="172" customFormat="1" ht="20.25" customHeight="1">
      <c r="C530" s="185">
        <f>D530</f>
        <v>530</v>
      </c>
      <c r="D530" s="190">
        <f t="shared" si="110"/>
        <v>530</v>
      </c>
      <c r="E530" s="196" t="s">
        <v>536</v>
      </c>
      <c r="F530" s="197">
        <f>C526</f>
        <v>526</v>
      </c>
      <c r="G530" s="193"/>
      <c r="H530" s="193"/>
      <c r="I530" s="195"/>
      <c r="J530" s="195"/>
      <c r="K530" s="221"/>
      <c r="L530" s="195"/>
      <c r="M530" s="204"/>
      <c r="N530" s="195"/>
      <c r="O530" s="205"/>
      <c r="P530" s="195"/>
      <c r="Q530" s="227"/>
      <c r="R530" s="226"/>
      <c r="S530" s="227"/>
      <c r="T530" s="203"/>
      <c r="U530" s="183"/>
    </row>
    <row r="531" spans="3:21" s="172" customFormat="1" ht="20.25" customHeight="1">
      <c r="C531" s="185"/>
      <c r="D531" s="190">
        <f t="shared" si="110"/>
        <v>531</v>
      </c>
      <c r="E531" s="194" t="s">
        <v>537</v>
      </c>
      <c r="F531" s="198"/>
      <c r="G531" s="193" t="s">
        <v>201</v>
      </c>
      <c r="H531" s="193"/>
      <c r="I531" s="211">
        <v>12</v>
      </c>
      <c r="J531" s="198" t="str">
        <f>J529</f>
        <v>1664 mm id</v>
      </c>
      <c r="K531" s="221">
        <v>1</v>
      </c>
      <c r="L531" s="195" t="s">
        <v>81</v>
      </c>
      <c r="M531" s="204">
        <v>1</v>
      </c>
      <c r="N531" s="195" t="s">
        <v>249</v>
      </c>
      <c r="O531" s="205">
        <v>1</v>
      </c>
      <c r="P531" s="195" t="s">
        <v>112</v>
      </c>
      <c r="Q531" s="227">
        <f t="shared" si="102"/>
        <v>1</v>
      </c>
      <c r="R531" s="226">
        <v>1</v>
      </c>
      <c r="S531" s="227">
        <f t="shared" si="105"/>
        <v>2</v>
      </c>
      <c r="T531" s="203" t="s">
        <v>48</v>
      </c>
      <c r="U531" s="183" t="str">
        <f t="shared" si="103"/>
        <v>2 Hrs</v>
      </c>
    </row>
    <row r="532" spans="3:21" s="172" customFormat="1" ht="20.25" customHeight="1">
      <c r="C532" s="185"/>
      <c r="D532" s="190">
        <f t="shared" si="110"/>
        <v>532</v>
      </c>
      <c r="E532" s="194" t="s">
        <v>538</v>
      </c>
      <c r="F532" s="198">
        <f t="shared" si="104"/>
        <v>531</v>
      </c>
      <c r="G532" s="193" t="s">
        <v>115</v>
      </c>
      <c r="H532" s="193"/>
      <c r="I532" s="211">
        <v>12</v>
      </c>
      <c r="J532" s="198" t="str">
        <f>J531</f>
        <v>1664 mm id</v>
      </c>
      <c r="K532" s="221">
        <v>1</v>
      </c>
      <c r="L532" s="195" t="s">
        <v>81</v>
      </c>
      <c r="M532" s="214">
        <f t="shared" ref="M532:M535" si="117">LEFT(J532,SEARCH(" ",J532,1)-1)*K532*3.142/1000</f>
        <v>5.2282879999999992</v>
      </c>
      <c r="N532" s="195" t="s">
        <v>249</v>
      </c>
      <c r="O532" s="233">
        <f>VLOOKUP(I532,BM!$B$3:$Y$62,17,FALSE)</f>
        <v>2.5</v>
      </c>
      <c r="P532" s="195" t="s">
        <v>112</v>
      </c>
      <c r="Q532" s="227">
        <f t="shared" si="102"/>
        <v>13.070719999999998</v>
      </c>
      <c r="R532" s="226">
        <v>1</v>
      </c>
      <c r="S532" s="227">
        <f t="shared" si="105"/>
        <v>14.07</v>
      </c>
      <c r="T532" s="203" t="s">
        <v>48</v>
      </c>
      <c r="U532" s="183" t="str">
        <f t="shared" si="103"/>
        <v>14.07 Hrs</v>
      </c>
    </row>
    <row r="533" spans="3:21" s="172" customFormat="1" ht="20.25" customHeight="1">
      <c r="C533" s="185"/>
      <c r="D533" s="190">
        <f t="shared" si="110"/>
        <v>533</v>
      </c>
      <c r="E533" s="194" t="s">
        <v>539</v>
      </c>
      <c r="F533" s="198">
        <f t="shared" si="104"/>
        <v>532</v>
      </c>
      <c r="G533" s="193" t="s">
        <v>61</v>
      </c>
      <c r="H533" s="193"/>
      <c r="I533" s="211">
        <v>18</v>
      </c>
      <c r="J533" s="198" t="str">
        <f t="shared" ref="J533:J535" si="118">J531</f>
        <v>1664 mm id</v>
      </c>
      <c r="K533" s="221">
        <v>1</v>
      </c>
      <c r="L533" s="195" t="s">
        <v>81</v>
      </c>
      <c r="M533" s="214">
        <f t="shared" si="117"/>
        <v>5.2282879999999992</v>
      </c>
      <c r="N533" s="195" t="s">
        <v>249</v>
      </c>
      <c r="O533" s="233">
        <f>VLOOKUP(I533,BM!$B$3:$Y$62,18,FALSE)</f>
        <v>1</v>
      </c>
      <c r="P533" s="195" t="s">
        <v>112</v>
      </c>
      <c r="Q533" s="227">
        <f t="shared" si="102"/>
        <v>5.2282879999999992</v>
      </c>
      <c r="R533" s="226">
        <v>1</v>
      </c>
      <c r="S533" s="227">
        <f t="shared" si="105"/>
        <v>6.23</v>
      </c>
      <c r="T533" s="203" t="s">
        <v>48</v>
      </c>
      <c r="U533" s="183" t="str">
        <f t="shared" si="103"/>
        <v>6.23 Hrs</v>
      </c>
    </row>
    <row r="534" spans="3:21" s="172" customFormat="1" ht="20.25" customHeight="1">
      <c r="C534" s="185"/>
      <c r="D534" s="190">
        <f t="shared" si="110"/>
        <v>534</v>
      </c>
      <c r="E534" s="194" t="s">
        <v>540</v>
      </c>
      <c r="F534" s="198">
        <f t="shared" si="104"/>
        <v>533</v>
      </c>
      <c r="G534" s="193" t="s">
        <v>115</v>
      </c>
      <c r="H534" s="193"/>
      <c r="I534" s="211">
        <v>6</v>
      </c>
      <c r="J534" s="198" t="str">
        <f t="shared" si="118"/>
        <v>1664 mm id</v>
      </c>
      <c r="K534" s="221">
        <v>1</v>
      </c>
      <c r="L534" s="195" t="s">
        <v>81</v>
      </c>
      <c r="M534" s="214">
        <f t="shared" si="117"/>
        <v>5.2282879999999992</v>
      </c>
      <c r="N534" s="195" t="s">
        <v>249</v>
      </c>
      <c r="O534" s="233">
        <f>VLOOKUP(I534,BM!$B$3:$Y$62,17,FALSE)</f>
        <v>0.9</v>
      </c>
      <c r="P534" s="195" t="s">
        <v>112</v>
      </c>
      <c r="Q534" s="227">
        <f t="shared" si="102"/>
        <v>4.7054591999999991</v>
      </c>
      <c r="R534" s="226">
        <v>1</v>
      </c>
      <c r="S534" s="227">
        <f t="shared" si="105"/>
        <v>5.71</v>
      </c>
      <c r="T534" s="203" t="s">
        <v>48</v>
      </c>
      <c r="U534" s="183" t="str">
        <f t="shared" si="103"/>
        <v>5.71 Hrs</v>
      </c>
    </row>
    <row r="535" spans="3:21" s="172" customFormat="1" ht="20.25" customHeight="1">
      <c r="C535" s="185"/>
      <c r="D535" s="190">
        <f t="shared" si="110"/>
        <v>535</v>
      </c>
      <c r="E535" s="194" t="s">
        <v>541</v>
      </c>
      <c r="F535" s="198">
        <f t="shared" si="104"/>
        <v>534</v>
      </c>
      <c r="G535" s="193" t="s">
        <v>61</v>
      </c>
      <c r="H535" s="193"/>
      <c r="I535" s="211">
        <v>18</v>
      </c>
      <c r="J535" s="198" t="str">
        <f t="shared" si="118"/>
        <v>1664 mm id</v>
      </c>
      <c r="K535" s="221">
        <v>1</v>
      </c>
      <c r="L535" s="195" t="s">
        <v>81</v>
      </c>
      <c r="M535" s="214">
        <f t="shared" si="117"/>
        <v>5.2282879999999992</v>
      </c>
      <c r="N535" s="195" t="s">
        <v>249</v>
      </c>
      <c r="O535" s="233">
        <f>VLOOKUP(I535,BM!$B$3:$Y$62,20,FALSE)</f>
        <v>0.5</v>
      </c>
      <c r="P535" s="195" t="s">
        <v>112</v>
      </c>
      <c r="Q535" s="227">
        <f t="shared" si="102"/>
        <v>2.6141439999999996</v>
      </c>
      <c r="R535" s="226">
        <v>1</v>
      </c>
      <c r="S535" s="227">
        <f t="shared" si="105"/>
        <v>3.61</v>
      </c>
      <c r="T535" s="203" t="s">
        <v>48</v>
      </c>
      <c r="U535" s="183" t="str">
        <f t="shared" si="103"/>
        <v>3.61 Hrs</v>
      </c>
    </row>
    <row r="536" spans="3:21" s="172" customFormat="1" ht="20.25" customHeight="1">
      <c r="C536" s="185">
        <f>D536</f>
        <v>536</v>
      </c>
      <c r="D536" s="190">
        <f t="shared" si="110"/>
        <v>536</v>
      </c>
      <c r="E536" s="196" t="s">
        <v>542</v>
      </c>
      <c r="F536" s="197">
        <f>C530</f>
        <v>530</v>
      </c>
      <c r="G536" s="193"/>
      <c r="H536" s="193"/>
      <c r="I536" s="195"/>
      <c r="J536" s="195"/>
      <c r="K536" s="221"/>
      <c r="L536" s="195"/>
      <c r="M536" s="204"/>
      <c r="N536" s="195"/>
      <c r="O536" s="205"/>
      <c r="P536" s="195"/>
      <c r="Q536" s="227">
        <f t="shared" si="102"/>
        <v>0</v>
      </c>
      <c r="R536" s="226"/>
      <c r="S536" s="227"/>
      <c r="T536" s="203"/>
      <c r="U536" s="183"/>
    </row>
    <row r="537" spans="3:21" s="172" customFormat="1" ht="20.25" customHeight="1">
      <c r="C537" s="185"/>
      <c r="D537" s="190">
        <f t="shared" si="110"/>
        <v>537</v>
      </c>
      <c r="E537" s="194" t="s">
        <v>543</v>
      </c>
      <c r="F537" s="198">
        <f t="shared" si="104"/>
        <v>536</v>
      </c>
      <c r="G537" s="193" t="s">
        <v>52</v>
      </c>
      <c r="H537" s="193"/>
      <c r="I537" s="211">
        <v>18</v>
      </c>
      <c r="J537" s="198" t="str">
        <f>J535</f>
        <v>1664 mm id</v>
      </c>
      <c r="K537" s="221">
        <v>1</v>
      </c>
      <c r="L537" s="195" t="s">
        <v>81</v>
      </c>
      <c r="M537" s="214">
        <f t="shared" ref="M537:M540" si="119">LEFT(J537,SEARCH(" ",J537,1)-1)*K537*3.142/1000</f>
        <v>5.2282879999999992</v>
      </c>
      <c r="N537" s="195" t="s">
        <v>139</v>
      </c>
      <c r="O537" s="233">
        <f>VLOOKUP(I537,BM!$B$3:$Y$62,10,FALSE)</f>
        <v>1</v>
      </c>
      <c r="P537" s="195" t="s">
        <v>112</v>
      </c>
      <c r="Q537" s="227">
        <f t="shared" si="102"/>
        <v>5.2282879999999992</v>
      </c>
      <c r="R537" s="226">
        <v>1</v>
      </c>
      <c r="S537" s="227">
        <f t="shared" si="105"/>
        <v>6.23</v>
      </c>
      <c r="T537" s="203" t="s">
        <v>48</v>
      </c>
      <c r="U537" s="183" t="str">
        <f t="shared" si="103"/>
        <v>6.23 Hrs</v>
      </c>
    </row>
    <row r="538" spans="3:21" s="172" customFormat="1" ht="20.25" customHeight="1">
      <c r="C538" s="185"/>
      <c r="D538" s="190">
        <f t="shared" si="110"/>
        <v>538</v>
      </c>
      <c r="E538" s="194" t="s">
        <v>544</v>
      </c>
      <c r="F538" s="198">
        <f t="shared" si="104"/>
        <v>537</v>
      </c>
      <c r="G538" s="193" t="s">
        <v>44</v>
      </c>
      <c r="H538" s="193"/>
      <c r="I538" s="211">
        <v>18</v>
      </c>
      <c r="J538" s="198" t="str">
        <f t="shared" ref="J538:J540" si="120">J537</f>
        <v>1664 mm id</v>
      </c>
      <c r="K538" s="221">
        <v>1</v>
      </c>
      <c r="L538" s="195" t="s">
        <v>81</v>
      </c>
      <c r="M538" s="214">
        <f t="shared" si="119"/>
        <v>5.2282879999999992</v>
      </c>
      <c r="N538" s="195" t="s">
        <v>139</v>
      </c>
      <c r="O538" s="233">
        <f>VLOOKUP(I538,BM!$B$3:$Y$62,16,FALSE)</f>
        <v>1</v>
      </c>
      <c r="P538" s="195" t="s">
        <v>112</v>
      </c>
      <c r="Q538" s="227">
        <f t="shared" si="102"/>
        <v>5.2282879999999992</v>
      </c>
      <c r="R538" s="226">
        <v>1</v>
      </c>
      <c r="S538" s="227">
        <f t="shared" si="105"/>
        <v>6.23</v>
      </c>
      <c r="T538" s="203" t="s">
        <v>48</v>
      </c>
      <c r="U538" s="183" t="str">
        <f t="shared" si="103"/>
        <v>6.23 Hrs</v>
      </c>
    </row>
    <row r="539" spans="3:21" s="172" customFormat="1" ht="20.25" customHeight="1">
      <c r="C539" s="185"/>
      <c r="D539" s="190">
        <f t="shared" si="110"/>
        <v>539</v>
      </c>
      <c r="E539" s="194" t="s">
        <v>545</v>
      </c>
      <c r="F539" s="198">
        <f t="shared" si="104"/>
        <v>538</v>
      </c>
      <c r="G539" s="193" t="s">
        <v>111</v>
      </c>
      <c r="H539" s="193"/>
      <c r="I539" s="211">
        <v>18</v>
      </c>
      <c r="J539" s="198" t="str">
        <f t="shared" si="120"/>
        <v>1664 mm id</v>
      </c>
      <c r="K539" s="221">
        <v>1</v>
      </c>
      <c r="L539" s="195" t="s">
        <v>81</v>
      </c>
      <c r="M539" s="214">
        <f t="shared" si="119"/>
        <v>5.2282879999999992</v>
      </c>
      <c r="N539" s="195" t="s">
        <v>139</v>
      </c>
      <c r="O539" s="205">
        <v>4</v>
      </c>
      <c r="P539" s="195" t="s">
        <v>112</v>
      </c>
      <c r="Q539" s="227">
        <f t="shared" si="102"/>
        <v>20.913151999999997</v>
      </c>
      <c r="R539" s="226">
        <v>1</v>
      </c>
      <c r="S539" s="227">
        <f t="shared" si="105"/>
        <v>21.91</v>
      </c>
      <c r="T539" s="203" t="s">
        <v>48</v>
      </c>
      <c r="U539" s="183" t="str">
        <f t="shared" si="103"/>
        <v>21.91 Hrs</v>
      </c>
    </row>
    <row r="540" spans="3:21" s="172" customFormat="1" ht="20.25" customHeight="1">
      <c r="C540" s="185"/>
      <c r="D540" s="190">
        <f t="shared" si="110"/>
        <v>540</v>
      </c>
      <c r="E540" s="194" t="s">
        <v>546</v>
      </c>
      <c r="F540" s="198">
        <f t="shared" si="104"/>
        <v>539</v>
      </c>
      <c r="G540" s="193" t="s">
        <v>63</v>
      </c>
      <c r="H540" s="193"/>
      <c r="I540" s="211">
        <v>18</v>
      </c>
      <c r="J540" s="198" t="str">
        <f t="shared" si="120"/>
        <v>1664 mm id</v>
      </c>
      <c r="K540" s="221">
        <v>1</v>
      </c>
      <c r="L540" s="195" t="s">
        <v>81</v>
      </c>
      <c r="M540" s="214">
        <f t="shared" si="119"/>
        <v>5.2282879999999992</v>
      </c>
      <c r="N540" s="195" t="s">
        <v>39</v>
      </c>
      <c r="O540" s="205">
        <v>3.5</v>
      </c>
      <c r="P540" s="195" t="s">
        <v>112</v>
      </c>
      <c r="Q540" s="227">
        <f t="shared" ref="Q540:Q602" si="121">M540*O540</f>
        <v>18.299007999999997</v>
      </c>
      <c r="R540" s="226">
        <v>1</v>
      </c>
      <c r="S540" s="227">
        <f t="shared" si="105"/>
        <v>19.3</v>
      </c>
      <c r="T540" s="203" t="s">
        <v>48</v>
      </c>
      <c r="U540" s="183" t="str">
        <f t="shared" ref="U540:U602" si="122">CONCATENATE(S540," ",T540)</f>
        <v>19.3 Hrs</v>
      </c>
    </row>
    <row r="541" spans="3:21" s="172" customFormat="1" ht="20.25" customHeight="1">
      <c r="C541" s="185">
        <f>D541</f>
        <v>541</v>
      </c>
      <c r="D541" s="190">
        <f t="shared" si="110"/>
        <v>541</v>
      </c>
      <c r="E541" s="196" t="s">
        <v>547</v>
      </c>
      <c r="F541" s="197">
        <f>C536</f>
        <v>536</v>
      </c>
      <c r="G541" s="193"/>
      <c r="H541" s="193"/>
      <c r="I541" s="195"/>
      <c r="J541" s="195"/>
      <c r="K541" s="221"/>
      <c r="L541" s="195"/>
      <c r="M541" s="204"/>
      <c r="N541" s="195"/>
      <c r="O541" s="205"/>
      <c r="P541" s="195"/>
      <c r="Q541" s="227"/>
      <c r="R541" s="226"/>
      <c r="S541" s="227"/>
      <c r="T541" s="203"/>
      <c r="U541" s="183"/>
    </row>
    <row r="542" spans="3:21" s="172" customFormat="1" ht="20.25" customHeight="1">
      <c r="C542" s="185"/>
      <c r="D542" s="190">
        <f t="shared" si="110"/>
        <v>542</v>
      </c>
      <c r="E542" s="194" t="s">
        <v>548</v>
      </c>
      <c r="F542" s="198"/>
      <c r="G542" s="193" t="s">
        <v>201</v>
      </c>
      <c r="H542" s="193"/>
      <c r="I542" s="211">
        <v>12</v>
      </c>
      <c r="J542" s="198" t="str">
        <f>J540</f>
        <v>1664 mm id</v>
      </c>
      <c r="K542" s="221">
        <v>1</v>
      </c>
      <c r="L542" s="195" t="s">
        <v>81</v>
      </c>
      <c r="M542" s="204">
        <v>1</v>
      </c>
      <c r="N542" s="195" t="s">
        <v>249</v>
      </c>
      <c r="O542" s="205">
        <v>1</v>
      </c>
      <c r="P542" s="195" t="s">
        <v>112</v>
      </c>
      <c r="Q542" s="227">
        <f t="shared" si="121"/>
        <v>1</v>
      </c>
      <c r="R542" s="226">
        <v>1</v>
      </c>
      <c r="S542" s="227">
        <f t="shared" ref="S542:S602" si="123">ROUND(Q542+R542,2)</f>
        <v>2</v>
      </c>
      <c r="T542" s="203" t="s">
        <v>48</v>
      </c>
      <c r="U542" s="183" t="str">
        <f t="shared" si="122"/>
        <v>2 Hrs</v>
      </c>
    </row>
    <row r="543" spans="3:21" s="172" customFormat="1" ht="20.25" customHeight="1">
      <c r="C543" s="185"/>
      <c r="D543" s="190">
        <f t="shared" si="110"/>
        <v>543</v>
      </c>
      <c r="E543" s="194" t="s">
        <v>549</v>
      </c>
      <c r="F543" s="198">
        <f t="shared" ref="F543:F602" si="124">D542</f>
        <v>542</v>
      </c>
      <c r="G543" s="193" t="s">
        <v>115</v>
      </c>
      <c r="H543" s="193"/>
      <c r="I543" s="211">
        <v>12</v>
      </c>
      <c r="J543" s="198" t="str">
        <f t="shared" ref="J543:J546" si="125">J542</f>
        <v>1664 mm id</v>
      </c>
      <c r="K543" s="221">
        <v>1</v>
      </c>
      <c r="L543" s="195" t="s">
        <v>81</v>
      </c>
      <c r="M543" s="214">
        <f t="shared" ref="M543:M546" si="126">LEFT(J543,SEARCH(" ",J543,1)-1)*K543*3.142/1000</f>
        <v>5.2282879999999992</v>
      </c>
      <c r="N543" s="195" t="s">
        <v>249</v>
      </c>
      <c r="O543" s="233">
        <f>VLOOKUP(I543,BM!$B$3:$Y$62,17,FALSE)</f>
        <v>2.5</v>
      </c>
      <c r="P543" s="195" t="s">
        <v>112</v>
      </c>
      <c r="Q543" s="227">
        <f t="shared" si="121"/>
        <v>13.070719999999998</v>
      </c>
      <c r="R543" s="226">
        <v>1</v>
      </c>
      <c r="S543" s="227">
        <f t="shared" si="123"/>
        <v>14.07</v>
      </c>
      <c r="T543" s="203" t="s">
        <v>48</v>
      </c>
      <c r="U543" s="183" t="str">
        <f t="shared" si="122"/>
        <v>14.07 Hrs</v>
      </c>
    </row>
    <row r="544" spans="3:21" s="172" customFormat="1" ht="20.25" customHeight="1">
      <c r="C544" s="185"/>
      <c r="D544" s="190">
        <f t="shared" si="110"/>
        <v>544</v>
      </c>
      <c r="E544" s="194" t="s">
        <v>550</v>
      </c>
      <c r="F544" s="198">
        <f t="shared" si="124"/>
        <v>543</v>
      </c>
      <c r="G544" s="193" t="s">
        <v>61</v>
      </c>
      <c r="H544" s="193"/>
      <c r="I544" s="211">
        <v>18</v>
      </c>
      <c r="J544" s="198" t="str">
        <f t="shared" si="125"/>
        <v>1664 mm id</v>
      </c>
      <c r="K544" s="221">
        <v>1</v>
      </c>
      <c r="L544" s="195" t="s">
        <v>81</v>
      </c>
      <c r="M544" s="214">
        <f t="shared" si="126"/>
        <v>5.2282879999999992</v>
      </c>
      <c r="N544" s="195" t="s">
        <v>249</v>
      </c>
      <c r="O544" s="233">
        <f>VLOOKUP(I544,BM!$B$3:$Y$62,18,FALSE)</f>
        <v>1</v>
      </c>
      <c r="P544" s="195" t="s">
        <v>112</v>
      </c>
      <c r="Q544" s="227">
        <f t="shared" si="121"/>
        <v>5.2282879999999992</v>
      </c>
      <c r="R544" s="226">
        <v>1</v>
      </c>
      <c r="S544" s="227">
        <f t="shared" si="123"/>
        <v>6.23</v>
      </c>
      <c r="T544" s="203" t="s">
        <v>48</v>
      </c>
      <c r="U544" s="183" t="str">
        <f t="shared" si="122"/>
        <v>6.23 Hrs</v>
      </c>
    </row>
    <row r="545" spans="3:21" s="172" customFormat="1" ht="20.25" customHeight="1">
      <c r="C545" s="185"/>
      <c r="D545" s="190">
        <f t="shared" si="110"/>
        <v>545</v>
      </c>
      <c r="E545" s="194" t="s">
        <v>551</v>
      </c>
      <c r="F545" s="198">
        <f t="shared" si="124"/>
        <v>544</v>
      </c>
      <c r="G545" s="193" t="s">
        <v>115</v>
      </c>
      <c r="H545" s="193"/>
      <c r="I545" s="211">
        <v>6</v>
      </c>
      <c r="J545" s="198" t="str">
        <f t="shared" si="125"/>
        <v>1664 mm id</v>
      </c>
      <c r="K545" s="221">
        <v>1</v>
      </c>
      <c r="L545" s="195" t="s">
        <v>81</v>
      </c>
      <c r="M545" s="214">
        <f t="shared" si="126"/>
        <v>5.2282879999999992</v>
      </c>
      <c r="N545" s="195" t="s">
        <v>249</v>
      </c>
      <c r="O545" s="233">
        <f>VLOOKUP(I545,BM!$B$3:$Y$62,17,FALSE)</f>
        <v>0.9</v>
      </c>
      <c r="P545" s="195" t="s">
        <v>112</v>
      </c>
      <c r="Q545" s="227">
        <f t="shared" si="121"/>
        <v>4.7054591999999991</v>
      </c>
      <c r="R545" s="226">
        <v>1</v>
      </c>
      <c r="S545" s="227">
        <f t="shared" si="123"/>
        <v>5.71</v>
      </c>
      <c r="T545" s="203" t="s">
        <v>48</v>
      </c>
      <c r="U545" s="183" t="str">
        <f t="shared" si="122"/>
        <v>5.71 Hrs</v>
      </c>
    </row>
    <row r="546" spans="3:21" s="172" customFormat="1" ht="20.25" customHeight="1">
      <c r="C546" s="185"/>
      <c r="D546" s="190">
        <f t="shared" si="110"/>
        <v>546</v>
      </c>
      <c r="E546" s="194" t="s">
        <v>552</v>
      </c>
      <c r="F546" s="198">
        <f t="shared" si="124"/>
        <v>545</v>
      </c>
      <c r="G546" s="193" t="s">
        <v>61</v>
      </c>
      <c r="H546" s="193"/>
      <c r="I546" s="211">
        <v>18</v>
      </c>
      <c r="J546" s="198" t="str">
        <f t="shared" si="125"/>
        <v>1664 mm id</v>
      </c>
      <c r="K546" s="221">
        <v>1</v>
      </c>
      <c r="L546" s="195" t="s">
        <v>81</v>
      </c>
      <c r="M546" s="214">
        <f t="shared" si="126"/>
        <v>5.2282879999999992</v>
      </c>
      <c r="N546" s="195" t="s">
        <v>249</v>
      </c>
      <c r="O546" s="233">
        <f>VLOOKUP(I546,BM!$B$3:$Y$62,20,FALSE)</f>
        <v>0.5</v>
      </c>
      <c r="P546" s="195" t="s">
        <v>112</v>
      </c>
      <c r="Q546" s="227">
        <f t="shared" si="121"/>
        <v>2.6141439999999996</v>
      </c>
      <c r="R546" s="226">
        <v>1</v>
      </c>
      <c r="S546" s="227">
        <f t="shared" si="123"/>
        <v>3.61</v>
      </c>
      <c r="T546" s="203" t="s">
        <v>48</v>
      </c>
      <c r="U546" s="183" t="str">
        <f t="shared" si="122"/>
        <v>3.61 Hrs</v>
      </c>
    </row>
    <row r="547" spans="3:21" s="172" customFormat="1" ht="20.25" customHeight="1">
      <c r="C547" s="185">
        <f>D547</f>
        <v>547</v>
      </c>
      <c r="D547" s="190">
        <f t="shared" si="110"/>
        <v>547</v>
      </c>
      <c r="E547" s="196" t="s">
        <v>553</v>
      </c>
      <c r="F547" s="197">
        <f>C541</f>
        <v>541</v>
      </c>
      <c r="G547" s="193"/>
      <c r="H547" s="193"/>
      <c r="I547" s="195"/>
      <c r="J547" s="195"/>
      <c r="K547" s="221"/>
      <c r="L547" s="195"/>
      <c r="M547" s="204"/>
      <c r="N547" s="195"/>
      <c r="O547" s="205"/>
      <c r="P547" s="195"/>
      <c r="Q547" s="227"/>
      <c r="R547" s="226"/>
      <c r="S547" s="227"/>
      <c r="T547" s="203"/>
      <c r="U547" s="183"/>
    </row>
    <row r="548" spans="3:21" s="172" customFormat="1" ht="20.25" customHeight="1">
      <c r="C548" s="185"/>
      <c r="D548" s="190">
        <f t="shared" si="110"/>
        <v>548</v>
      </c>
      <c r="E548" s="194" t="s">
        <v>554</v>
      </c>
      <c r="F548" s="198"/>
      <c r="G548" s="193" t="s">
        <v>312</v>
      </c>
      <c r="H548" s="193"/>
      <c r="I548" s="220">
        <f>I546</f>
        <v>18</v>
      </c>
      <c r="J548" s="198" t="str">
        <f t="shared" ref="J548:L548" si="127">J546</f>
        <v>1664 mm id</v>
      </c>
      <c r="K548" s="212">
        <f t="shared" si="127"/>
        <v>1</v>
      </c>
      <c r="L548" s="198" t="str">
        <f t="shared" si="127"/>
        <v>Nos</v>
      </c>
      <c r="M548" s="195">
        <v>1</v>
      </c>
      <c r="N548" s="195" t="s">
        <v>39</v>
      </c>
      <c r="O548" s="205">
        <v>1</v>
      </c>
      <c r="P548" s="195" t="s">
        <v>41</v>
      </c>
      <c r="Q548" s="227">
        <f t="shared" si="121"/>
        <v>1</v>
      </c>
      <c r="R548" s="198"/>
      <c r="S548" s="227">
        <f t="shared" si="123"/>
        <v>1</v>
      </c>
      <c r="T548" s="203" t="s">
        <v>42</v>
      </c>
      <c r="U548" s="183" t="str">
        <f t="shared" si="122"/>
        <v>1 Days</v>
      </c>
    </row>
    <row r="549" spans="3:21" s="172" customFormat="1" ht="20.25" customHeight="1">
      <c r="C549" s="185">
        <f>D549</f>
        <v>549</v>
      </c>
      <c r="D549" s="190">
        <f t="shared" si="110"/>
        <v>549</v>
      </c>
      <c r="E549" s="196" t="s">
        <v>555</v>
      </c>
      <c r="F549" s="197">
        <f>D547</f>
        <v>547</v>
      </c>
      <c r="G549" s="193"/>
      <c r="H549" s="193"/>
      <c r="I549" s="195"/>
      <c r="J549" s="195"/>
      <c r="K549" s="221"/>
      <c r="L549" s="195"/>
      <c r="M549" s="204"/>
      <c r="N549" s="195"/>
      <c r="O549" s="205"/>
      <c r="P549" s="195"/>
      <c r="Q549" s="227"/>
      <c r="R549" s="226"/>
      <c r="S549" s="227"/>
      <c r="T549" s="203"/>
      <c r="U549" s="183"/>
    </row>
    <row r="550" spans="3:21" s="172" customFormat="1" ht="20.25" customHeight="1">
      <c r="C550" s="185"/>
      <c r="D550" s="190">
        <f t="shared" si="110"/>
        <v>550</v>
      </c>
      <c r="E550" s="194" t="s">
        <v>556</v>
      </c>
      <c r="F550" s="198"/>
      <c r="G550" s="193" t="s">
        <v>44</v>
      </c>
      <c r="H550" s="193"/>
      <c r="I550" s="211">
        <v>20</v>
      </c>
      <c r="J550" s="198" t="str">
        <f>J548</f>
        <v>1664 mm id</v>
      </c>
      <c r="K550" s="221">
        <v>1</v>
      </c>
      <c r="L550" s="195" t="s">
        <v>81</v>
      </c>
      <c r="M550" s="204">
        <v>1</v>
      </c>
      <c r="N550" s="195" t="s">
        <v>81</v>
      </c>
      <c r="O550" s="205">
        <v>3</v>
      </c>
      <c r="P550" s="195" t="s">
        <v>112</v>
      </c>
      <c r="Q550" s="227">
        <f t="shared" si="121"/>
        <v>3</v>
      </c>
      <c r="R550" s="226">
        <v>1</v>
      </c>
      <c r="S550" s="227">
        <f t="shared" si="123"/>
        <v>4</v>
      </c>
      <c r="T550" s="203" t="s">
        <v>48</v>
      </c>
      <c r="U550" s="183" t="str">
        <f t="shared" si="122"/>
        <v>4 Hrs</v>
      </c>
    </row>
    <row r="551" spans="3:21" s="172" customFormat="1" ht="20.25" customHeight="1">
      <c r="C551" s="185"/>
      <c r="D551" s="190">
        <f t="shared" si="110"/>
        <v>551</v>
      </c>
      <c r="E551" s="194" t="s">
        <v>557</v>
      </c>
      <c r="F551" s="198">
        <f t="shared" si="124"/>
        <v>550</v>
      </c>
      <c r="G551" s="193" t="s">
        <v>44</v>
      </c>
      <c r="H551" s="193"/>
      <c r="I551" s="211">
        <v>20</v>
      </c>
      <c r="J551" s="198" t="str">
        <f>J550</f>
        <v>1664 mm id</v>
      </c>
      <c r="K551" s="221">
        <v>1</v>
      </c>
      <c r="L551" s="195" t="s">
        <v>81</v>
      </c>
      <c r="M551" s="204">
        <v>1</v>
      </c>
      <c r="N551" s="195" t="s">
        <v>81</v>
      </c>
      <c r="O551" s="205">
        <v>1</v>
      </c>
      <c r="P551" s="195" t="s">
        <v>112</v>
      </c>
      <c r="Q551" s="227">
        <f t="shared" si="121"/>
        <v>1</v>
      </c>
      <c r="R551" s="226">
        <v>1</v>
      </c>
      <c r="S551" s="227">
        <f t="shared" si="123"/>
        <v>2</v>
      </c>
      <c r="T551" s="203" t="s">
        <v>48</v>
      </c>
      <c r="U551" s="183" t="str">
        <f t="shared" si="122"/>
        <v>2 Hrs</v>
      </c>
    </row>
    <row r="552" spans="3:21" s="172" customFormat="1" ht="20.25" customHeight="1">
      <c r="C552" s="185">
        <f>D552</f>
        <v>552</v>
      </c>
      <c r="D552" s="190">
        <f t="shared" si="110"/>
        <v>552</v>
      </c>
      <c r="E552" s="196" t="s">
        <v>558</v>
      </c>
      <c r="F552" s="197">
        <f>D549</f>
        <v>549</v>
      </c>
      <c r="G552" s="193"/>
      <c r="H552" s="193"/>
      <c r="I552" s="195"/>
      <c r="J552" s="195"/>
      <c r="K552" s="221"/>
      <c r="L552" s="195"/>
      <c r="M552" s="204"/>
      <c r="N552" s="195"/>
      <c r="O552" s="205"/>
      <c r="P552" s="195"/>
      <c r="Q552" s="227"/>
      <c r="R552" s="226"/>
      <c r="S552" s="227"/>
      <c r="T552" s="203"/>
      <c r="U552" s="183"/>
    </row>
    <row r="553" spans="3:21" s="172" customFormat="1" ht="20.25" customHeight="1">
      <c r="C553" s="185"/>
      <c r="D553" s="190">
        <f t="shared" si="110"/>
        <v>553</v>
      </c>
      <c r="E553" s="194" t="s">
        <v>559</v>
      </c>
      <c r="F553" s="198"/>
      <c r="G553" s="193" t="s">
        <v>52</v>
      </c>
      <c r="H553" s="193"/>
      <c r="I553" s="195"/>
      <c r="J553" s="221" t="s">
        <v>560</v>
      </c>
      <c r="K553" s="221">
        <v>1</v>
      </c>
      <c r="L553" s="195" t="s">
        <v>39</v>
      </c>
      <c r="M553" s="204">
        <v>1</v>
      </c>
      <c r="N553" s="195" t="s">
        <v>81</v>
      </c>
      <c r="O553" s="205">
        <v>3</v>
      </c>
      <c r="P553" s="195" t="s">
        <v>112</v>
      </c>
      <c r="Q553" s="227">
        <f t="shared" si="121"/>
        <v>3</v>
      </c>
      <c r="R553" s="226">
        <v>1</v>
      </c>
      <c r="S553" s="227">
        <f t="shared" si="123"/>
        <v>4</v>
      </c>
      <c r="T553" s="203" t="s">
        <v>48</v>
      </c>
      <c r="U553" s="183" t="str">
        <f t="shared" si="122"/>
        <v>4 Hrs</v>
      </c>
    </row>
    <row r="554" spans="3:21" s="172" customFormat="1" ht="20.25" customHeight="1">
      <c r="C554" s="185"/>
      <c r="D554" s="190">
        <f t="shared" si="110"/>
        <v>554</v>
      </c>
      <c r="E554" s="194" t="s">
        <v>559</v>
      </c>
      <c r="F554" s="198">
        <f t="shared" si="124"/>
        <v>553</v>
      </c>
      <c r="G554" s="193" t="s">
        <v>52</v>
      </c>
      <c r="H554" s="193"/>
      <c r="I554" s="195"/>
      <c r="J554" s="221" t="s">
        <v>560</v>
      </c>
      <c r="K554" s="221">
        <v>1</v>
      </c>
      <c r="L554" s="195" t="s">
        <v>39</v>
      </c>
      <c r="M554" s="204">
        <v>1</v>
      </c>
      <c r="N554" s="195" t="s">
        <v>81</v>
      </c>
      <c r="O554" s="205">
        <v>3</v>
      </c>
      <c r="P554" s="195" t="s">
        <v>112</v>
      </c>
      <c r="Q554" s="227">
        <f t="shared" si="121"/>
        <v>3</v>
      </c>
      <c r="R554" s="226">
        <v>1</v>
      </c>
      <c r="S554" s="227">
        <f t="shared" si="123"/>
        <v>4</v>
      </c>
      <c r="T554" s="203" t="s">
        <v>48</v>
      </c>
      <c r="U554" s="183" t="str">
        <f t="shared" si="122"/>
        <v>4 Hrs</v>
      </c>
    </row>
    <row r="555" spans="3:21" s="172" customFormat="1" ht="20.25" customHeight="1">
      <c r="C555" s="185">
        <f>D555</f>
        <v>555</v>
      </c>
      <c r="D555" s="190">
        <f t="shared" si="110"/>
        <v>555</v>
      </c>
      <c r="E555" s="196" t="s">
        <v>561</v>
      </c>
      <c r="F555" s="197">
        <f>D552</f>
        <v>552</v>
      </c>
      <c r="G555" s="193"/>
      <c r="H555" s="193"/>
      <c r="I555" s="195"/>
      <c r="J555" s="195"/>
      <c r="K555" s="221"/>
      <c r="L555" s="195"/>
      <c r="M555" s="204"/>
      <c r="N555" s="195"/>
      <c r="O555" s="205"/>
      <c r="P555" s="195"/>
      <c r="Q555" s="227"/>
      <c r="R555" s="226"/>
      <c r="S555" s="227"/>
      <c r="T555" s="203"/>
      <c r="U555" s="183"/>
    </row>
    <row r="556" spans="3:21" s="172" customFormat="1" ht="20.25" customHeight="1">
      <c r="C556" s="185"/>
      <c r="D556" s="190">
        <f t="shared" si="110"/>
        <v>556</v>
      </c>
      <c r="E556" s="194" t="s">
        <v>559</v>
      </c>
      <c r="F556" s="198"/>
      <c r="G556" s="193" t="s">
        <v>121</v>
      </c>
      <c r="H556" s="193"/>
      <c r="I556" s="195"/>
      <c r="J556" s="221" t="s">
        <v>560</v>
      </c>
      <c r="K556" s="221">
        <v>1</v>
      </c>
      <c r="L556" s="195" t="s">
        <v>39</v>
      </c>
      <c r="M556" s="204">
        <v>1</v>
      </c>
      <c r="N556" s="195" t="s">
        <v>81</v>
      </c>
      <c r="O556" s="205">
        <v>2</v>
      </c>
      <c r="P556" s="195" t="s">
        <v>112</v>
      </c>
      <c r="Q556" s="227">
        <f t="shared" si="121"/>
        <v>2</v>
      </c>
      <c r="R556" s="226">
        <v>1</v>
      </c>
      <c r="S556" s="227">
        <f t="shared" si="123"/>
        <v>3</v>
      </c>
      <c r="T556" s="203" t="s">
        <v>48</v>
      </c>
      <c r="U556" s="183" t="str">
        <f t="shared" si="122"/>
        <v>3 Hrs</v>
      </c>
    </row>
    <row r="557" spans="3:21" s="172" customFormat="1" ht="20.25" customHeight="1">
      <c r="C557" s="185"/>
      <c r="D557" s="190">
        <f t="shared" si="110"/>
        <v>557</v>
      </c>
      <c r="E557" s="194" t="s">
        <v>559</v>
      </c>
      <c r="F557" s="198">
        <f t="shared" si="124"/>
        <v>556</v>
      </c>
      <c r="G557" s="193" t="s">
        <v>121</v>
      </c>
      <c r="H557" s="193"/>
      <c r="I557" s="195"/>
      <c r="J557" s="221" t="s">
        <v>560</v>
      </c>
      <c r="K557" s="221">
        <v>1</v>
      </c>
      <c r="L557" s="195" t="s">
        <v>39</v>
      </c>
      <c r="M557" s="204">
        <v>1</v>
      </c>
      <c r="N557" s="195" t="s">
        <v>81</v>
      </c>
      <c r="O557" s="205">
        <v>2</v>
      </c>
      <c r="P557" s="195" t="s">
        <v>112</v>
      </c>
      <c r="Q557" s="227">
        <f t="shared" si="121"/>
        <v>2</v>
      </c>
      <c r="R557" s="226">
        <v>1</v>
      </c>
      <c r="S557" s="227">
        <f t="shared" si="123"/>
        <v>3</v>
      </c>
      <c r="T557" s="203" t="s">
        <v>48</v>
      </c>
      <c r="U557" s="183" t="str">
        <f t="shared" si="122"/>
        <v>3 Hrs</v>
      </c>
    </row>
    <row r="558" spans="3:21" s="172" customFormat="1" ht="20.25" customHeight="1">
      <c r="C558" s="185">
        <f>D558</f>
        <v>558</v>
      </c>
      <c r="D558" s="190">
        <f t="shared" si="110"/>
        <v>558</v>
      </c>
      <c r="E558" s="196" t="s">
        <v>562</v>
      </c>
      <c r="F558" s="197">
        <f>D555</f>
        <v>555</v>
      </c>
      <c r="G558" s="193"/>
      <c r="H558" s="193"/>
      <c r="I558" s="195"/>
      <c r="J558" s="195"/>
      <c r="K558" s="221"/>
      <c r="L558" s="195"/>
      <c r="M558" s="204"/>
      <c r="N558" s="195"/>
      <c r="O558" s="205"/>
      <c r="P558" s="195"/>
      <c r="Q558" s="227"/>
      <c r="R558" s="226"/>
      <c r="S558" s="227"/>
      <c r="T558" s="203"/>
      <c r="U558" s="183"/>
    </row>
    <row r="559" spans="3:21" s="172" customFormat="1" ht="20.25" customHeight="1">
      <c r="C559" s="185"/>
      <c r="D559" s="190">
        <f t="shared" si="110"/>
        <v>559</v>
      </c>
      <c r="E559" s="194" t="s">
        <v>563</v>
      </c>
      <c r="F559" s="198"/>
      <c r="G559" s="193" t="s">
        <v>111</v>
      </c>
      <c r="H559" s="193"/>
      <c r="I559" s="195"/>
      <c r="J559" s="221" t="s">
        <v>560</v>
      </c>
      <c r="K559" s="221">
        <v>1</v>
      </c>
      <c r="L559" s="195" t="s">
        <v>564</v>
      </c>
      <c r="M559" s="204">
        <v>1</v>
      </c>
      <c r="N559" s="195" t="s">
        <v>81</v>
      </c>
      <c r="O559" s="233" t="e">
        <f>VLOOKUP(J559,BM!$B$3:$Y$62,11,FALSE)</f>
        <v>#N/A</v>
      </c>
      <c r="P559" s="195" t="s">
        <v>112</v>
      </c>
      <c r="Q559" s="227" t="e">
        <f t="shared" si="121"/>
        <v>#N/A</v>
      </c>
      <c r="R559" s="226">
        <v>1</v>
      </c>
      <c r="S559" s="227" t="e">
        <f t="shared" si="123"/>
        <v>#N/A</v>
      </c>
      <c r="T559" s="203" t="s">
        <v>48</v>
      </c>
      <c r="U559" s="183" t="e">
        <f t="shared" si="122"/>
        <v>#N/A</v>
      </c>
    </row>
    <row r="560" spans="3:21" s="172" customFormat="1" ht="20.25" customHeight="1">
      <c r="C560" s="185"/>
      <c r="D560" s="190">
        <f t="shared" si="110"/>
        <v>560</v>
      </c>
      <c r="E560" s="194" t="s">
        <v>565</v>
      </c>
      <c r="F560" s="198">
        <f t="shared" si="124"/>
        <v>559</v>
      </c>
      <c r="G560" s="193" t="s">
        <v>111</v>
      </c>
      <c r="H560" s="193"/>
      <c r="I560" s="195"/>
      <c r="J560" s="212" t="str">
        <f>J559</f>
        <v>40NB</v>
      </c>
      <c r="K560" s="221">
        <v>1</v>
      </c>
      <c r="L560" s="195" t="s">
        <v>564</v>
      </c>
      <c r="M560" s="204">
        <v>1</v>
      </c>
      <c r="N560" s="195" t="s">
        <v>81</v>
      </c>
      <c r="O560" s="233" t="e">
        <f>VLOOKUP(J560,BM!$B$3:$Y$62,11,FALSE)</f>
        <v>#N/A</v>
      </c>
      <c r="P560" s="195" t="s">
        <v>112</v>
      </c>
      <c r="Q560" s="227" t="e">
        <f t="shared" si="121"/>
        <v>#N/A</v>
      </c>
      <c r="R560" s="226">
        <v>1</v>
      </c>
      <c r="S560" s="227" t="e">
        <f t="shared" si="123"/>
        <v>#N/A</v>
      </c>
      <c r="T560" s="203" t="s">
        <v>48</v>
      </c>
      <c r="U560" s="183" t="e">
        <f t="shared" si="122"/>
        <v>#N/A</v>
      </c>
    </row>
    <row r="561" spans="3:21" s="172" customFormat="1" ht="20.25" customHeight="1">
      <c r="C561" s="185">
        <f>D561</f>
        <v>561</v>
      </c>
      <c r="D561" s="190">
        <f t="shared" si="110"/>
        <v>561</v>
      </c>
      <c r="E561" s="196" t="s">
        <v>566</v>
      </c>
      <c r="F561" s="197">
        <f>D558</f>
        <v>558</v>
      </c>
      <c r="G561" s="193"/>
      <c r="H561" s="193"/>
      <c r="I561" s="195"/>
      <c r="J561" s="195"/>
      <c r="K561" s="221"/>
      <c r="L561" s="195"/>
      <c r="M561" s="204"/>
      <c r="N561" s="195"/>
      <c r="O561" s="205"/>
      <c r="P561" s="195"/>
      <c r="Q561" s="227"/>
      <c r="R561" s="226"/>
      <c r="S561" s="227"/>
      <c r="T561" s="203"/>
      <c r="U561" s="183"/>
    </row>
    <row r="562" spans="3:21" s="172" customFormat="1" ht="20.25" customHeight="1">
      <c r="C562" s="185"/>
      <c r="D562" s="190">
        <f t="shared" si="110"/>
        <v>562</v>
      </c>
      <c r="E562" s="194" t="s">
        <v>567</v>
      </c>
      <c r="F562" s="198"/>
      <c r="G562" s="193" t="s">
        <v>568</v>
      </c>
      <c r="H562" s="193"/>
      <c r="I562" s="195"/>
      <c r="J562" s="212" t="str">
        <f>J560</f>
        <v>40NB</v>
      </c>
      <c r="K562" s="221">
        <v>1</v>
      </c>
      <c r="L562" s="195" t="s">
        <v>564</v>
      </c>
      <c r="M562" s="204">
        <v>1</v>
      </c>
      <c r="N562" s="195" t="s">
        <v>81</v>
      </c>
      <c r="O562" s="205">
        <v>0.5</v>
      </c>
      <c r="P562" s="195" t="s">
        <v>112</v>
      </c>
      <c r="Q562" s="227">
        <f t="shared" si="121"/>
        <v>0.5</v>
      </c>
      <c r="R562" s="226">
        <v>1</v>
      </c>
      <c r="S562" s="227">
        <f t="shared" si="123"/>
        <v>1.5</v>
      </c>
      <c r="T562" s="203" t="s">
        <v>48</v>
      </c>
      <c r="U562" s="183" t="str">
        <f t="shared" si="122"/>
        <v>1.5 Hrs</v>
      </c>
    </row>
    <row r="563" spans="3:21" s="172" customFormat="1" ht="20.25" customHeight="1">
      <c r="C563" s="185"/>
      <c r="D563" s="190">
        <f t="shared" si="110"/>
        <v>563</v>
      </c>
      <c r="E563" s="194" t="s">
        <v>569</v>
      </c>
      <c r="F563" s="198">
        <f t="shared" si="124"/>
        <v>562</v>
      </c>
      <c r="G563" s="193" t="s">
        <v>568</v>
      </c>
      <c r="H563" s="193"/>
      <c r="I563" s="195"/>
      <c r="J563" s="212" t="str">
        <f>J560</f>
        <v>40NB</v>
      </c>
      <c r="K563" s="221">
        <v>1</v>
      </c>
      <c r="L563" s="195" t="s">
        <v>564</v>
      </c>
      <c r="M563" s="204">
        <v>1</v>
      </c>
      <c r="N563" s="195" t="s">
        <v>81</v>
      </c>
      <c r="O563" s="205">
        <v>0.5</v>
      </c>
      <c r="P563" s="195" t="s">
        <v>112</v>
      </c>
      <c r="Q563" s="227">
        <f t="shared" si="121"/>
        <v>0.5</v>
      </c>
      <c r="R563" s="226">
        <v>1</v>
      </c>
      <c r="S563" s="227">
        <f t="shared" si="123"/>
        <v>1.5</v>
      </c>
      <c r="T563" s="203" t="s">
        <v>48</v>
      </c>
      <c r="U563" s="183" t="str">
        <f t="shared" si="122"/>
        <v>1.5 Hrs</v>
      </c>
    </row>
    <row r="564" spans="3:21" s="172" customFormat="1" ht="20.25" customHeight="1">
      <c r="C564" s="185">
        <f>D564</f>
        <v>564</v>
      </c>
      <c r="D564" s="190">
        <f t="shared" si="110"/>
        <v>564</v>
      </c>
      <c r="E564" s="196" t="s">
        <v>570</v>
      </c>
      <c r="F564" s="197">
        <f>D561</f>
        <v>561</v>
      </c>
      <c r="G564" s="193"/>
      <c r="H564" s="193"/>
      <c r="I564" s="195"/>
      <c r="J564" s="195"/>
      <c r="K564" s="221"/>
      <c r="L564" s="195"/>
      <c r="M564" s="204"/>
      <c r="N564" s="195"/>
      <c r="O564" s="205"/>
      <c r="P564" s="195"/>
      <c r="Q564" s="227"/>
      <c r="R564" s="226"/>
      <c r="S564" s="227"/>
      <c r="T564" s="203"/>
      <c r="U564" s="183"/>
    </row>
    <row r="565" spans="3:21" s="172" customFormat="1" ht="20.25" customHeight="1">
      <c r="C565" s="185"/>
      <c r="D565" s="190">
        <f t="shared" si="110"/>
        <v>565</v>
      </c>
      <c r="E565" s="194" t="s">
        <v>571</v>
      </c>
      <c r="F565" s="198"/>
      <c r="G565" s="193" t="s">
        <v>37</v>
      </c>
      <c r="H565" s="193"/>
      <c r="I565" s="211" t="s">
        <v>560</v>
      </c>
      <c r="J565" s="195" t="str">
        <f>J563</f>
        <v>40NB</v>
      </c>
      <c r="K565" s="221">
        <v>1</v>
      </c>
      <c r="L565" s="195" t="s">
        <v>81</v>
      </c>
      <c r="M565" s="204">
        <v>1</v>
      </c>
      <c r="N565" s="195" t="s">
        <v>81</v>
      </c>
      <c r="O565" s="205">
        <v>0.5</v>
      </c>
      <c r="P565" s="195" t="s">
        <v>112</v>
      </c>
      <c r="Q565" s="227">
        <f t="shared" si="121"/>
        <v>0.5</v>
      </c>
      <c r="R565" s="226">
        <v>1</v>
      </c>
      <c r="S565" s="227">
        <f t="shared" si="123"/>
        <v>1.5</v>
      </c>
      <c r="T565" s="203" t="s">
        <v>48</v>
      </c>
      <c r="U565" s="183" t="str">
        <f t="shared" si="122"/>
        <v>1.5 Hrs</v>
      </c>
    </row>
    <row r="566" spans="3:21" s="172" customFormat="1" ht="20.25" customHeight="1">
      <c r="C566" s="185"/>
      <c r="D566" s="190">
        <f t="shared" si="110"/>
        <v>566</v>
      </c>
      <c r="E566" s="194" t="s">
        <v>572</v>
      </c>
      <c r="F566" s="198">
        <f t="shared" si="124"/>
        <v>565</v>
      </c>
      <c r="G566" s="193" t="s">
        <v>115</v>
      </c>
      <c r="H566" s="193"/>
      <c r="I566" s="211">
        <v>10</v>
      </c>
      <c r="J566" s="212" t="s">
        <v>573</v>
      </c>
      <c r="K566" s="221">
        <v>1</v>
      </c>
      <c r="L566" s="195" t="s">
        <v>39</v>
      </c>
      <c r="M566" s="214">
        <f t="shared" ref="M566:M570" si="128">LEFT(J566,SEARCH(" ",J566,1)-1)*K566*3.142/1000</f>
        <v>0.23565</v>
      </c>
      <c r="N566" s="195"/>
      <c r="O566" s="233">
        <f>VLOOKUP(I566,BM!$B$3:$Y$62,17,FALSE)</f>
        <v>1.88</v>
      </c>
      <c r="P566" s="195" t="s">
        <v>112</v>
      </c>
      <c r="Q566" s="227">
        <f t="shared" si="121"/>
        <v>0.44302199999999997</v>
      </c>
      <c r="R566" s="226">
        <v>1</v>
      </c>
      <c r="S566" s="227">
        <f t="shared" si="123"/>
        <v>1.44</v>
      </c>
      <c r="T566" s="203" t="s">
        <v>48</v>
      </c>
      <c r="U566" s="183" t="str">
        <f t="shared" si="122"/>
        <v>1.44 Hrs</v>
      </c>
    </row>
    <row r="567" spans="3:21" s="172" customFormat="1" ht="20.25" customHeight="1">
      <c r="C567" s="185"/>
      <c r="D567" s="190">
        <f t="shared" si="110"/>
        <v>567</v>
      </c>
      <c r="E567" s="194" t="s">
        <v>574</v>
      </c>
      <c r="F567" s="198">
        <f t="shared" si="124"/>
        <v>566</v>
      </c>
      <c r="G567" s="193" t="s">
        <v>115</v>
      </c>
      <c r="H567" s="193"/>
      <c r="I567" s="211">
        <v>10</v>
      </c>
      <c r="J567" s="198" t="str">
        <f>J566</f>
        <v>75 MM</v>
      </c>
      <c r="K567" s="221">
        <v>1</v>
      </c>
      <c r="L567" s="195" t="s">
        <v>39</v>
      </c>
      <c r="M567" s="214">
        <f t="shared" si="128"/>
        <v>0.23565</v>
      </c>
      <c r="N567" s="195"/>
      <c r="O567" s="233">
        <f>VLOOKUP(I567,BM!$B$3:$Y$62,17,FALSE)</f>
        <v>1.88</v>
      </c>
      <c r="P567" s="195" t="s">
        <v>112</v>
      </c>
      <c r="Q567" s="227">
        <f t="shared" si="121"/>
        <v>0.44302199999999997</v>
      </c>
      <c r="R567" s="226">
        <v>1</v>
      </c>
      <c r="S567" s="227">
        <f t="shared" si="123"/>
        <v>1.44</v>
      </c>
      <c r="T567" s="203" t="s">
        <v>48</v>
      </c>
      <c r="U567" s="183" t="str">
        <f t="shared" si="122"/>
        <v>1.44 Hrs</v>
      </c>
    </row>
    <row r="568" spans="3:21" s="172" customFormat="1" ht="20.25" customHeight="1">
      <c r="C568" s="185"/>
      <c r="D568" s="190">
        <f t="shared" si="110"/>
        <v>568</v>
      </c>
      <c r="E568" s="194" t="s">
        <v>575</v>
      </c>
      <c r="F568" s="198">
        <f t="shared" si="124"/>
        <v>567</v>
      </c>
      <c r="G568" s="193" t="s">
        <v>44</v>
      </c>
      <c r="H568" s="193"/>
      <c r="I568" s="195"/>
      <c r="J568" s="198" t="str">
        <f>J567</f>
        <v>75 MM</v>
      </c>
      <c r="K568" s="221">
        <v>2</v>
      </c>
      <c r="L568" s="195" t="s">
        <v>39</v>
      </c>
      <c r="M568" s="204">
        <v>2</v>
      </c>
      <c r="N568" s="195"/>
      <c r="O568" s="205">
        <v>0.5</v>
      </c>
      <c r="P568" s="195" t="s">
        <v>112</v>
      </c>
      <c r="Q568" s="227">
        <f t="shared" si="121"/>
        <v>1</v>
      </c>
      <c r="R568" s="226">
        <v>1</v>
      </c>
      <c r="S568" s="227">
        <f t="shared" si="123"/>
        <v>2</v>
      </c>
      <c r="T568" s="203" t="s">
        <v>48</v>
      </c>
      <c r="U568" s="183" t="str">
        <f t="shared" si="122"/>
        <v>2 Hrs</v>
      </c>
    </row>
    <row r="569" spans="3:21" s="172" customFormat="1" ht="20.25" customHeight="1">
      <c r="C569" s="185"/>
      <c r="D569" s="190">
        <f t="shared" si="110"/>
        <v>569</v>
      </c>
      <c r="E569" s="194" t="s">
        <v>576</v>
      </c>
      <c r="F569" s="198">
        <f t="shared" si="124"/>
        <v>568</v>
      </c>
      <c r="G569" s="193" t="s">
        <v>115</v>
      </c>
      <c r="H569" s="193"/>
      <c r="I569" s="211">
        <v>10</v>
      </c>
      <c r="J569" s="198" t="str">
        <f>J568</f>
        <v>75 MM</v>
      </c>
      <c r="K569" s="221">
        <v>1</v>
      </c>
      <c r="L569" s="195" t="s">
        <v>39</v>
      </c>
      <c r="M569" s="214">
        <f t="shared" si="128"/>
        <v>0.23565</v>
      </c>
      <c r="N569" s="195"/>
      <c r="O569" s="233">
        <f>VLOOKUP(I569,BM!$B$3:$Y$62,17,FALSE)</f>
        <v>1.88</v>
      </c>
      <c r="P569" s="195" t="s">
        <v>112</v>
      </c>
      <c r="Q569" s="227">
        <f t="shared" si="121"/>
        <v>0.44302199999999997</v>
      </c>
      <c r="R569" s="226">
        <v>1</v>
      </c>
      <c r="S569" s="227">
        <f t="shared" si="123"/>
        <v>1.44</v>
      </c>
      <c r="T569" s="203" t="s">
        <v>48</v>
      </c>
      <c r="U569" s="183" t="str">
        <f t="shared" si="122"/>
        <v>1.44 Hrs</v>
      </c>
    </row>
    <row r="570" spans="3:21" s="172" customFormat="1" ht="20.25" customHeight="1">
      <c r="C570" s="185"/>
      <c r="D570" s="190">
        <f t="shared" si="110"/>
        <v>570</v>
      </c>
      <c r="E570" s="194" t="s">
        <v>577</v>
      </c>
      <c r="F570" s="198">
        <f t="shared" si="124"/>
        <v>569</v>
      </c>
      <c r="G570" s="193" t="s">
        <v>115</v>
      </c>
      <c r="H570" s="193"/>
      <c r="I570" s="211">
        <v>10</v>
      </c>
      <c r="J570" s="198" t="str">
        <f>J569</f>
        <v>75 MM</v>
      </c>
      <c r="K570" s="221">
        <v>1</v>
      </c>
      <c r="L570" s="195" t="s">
        <v>39</v>
      </c>
      <c r="M570" s="214">
        <f t="shared" si="128"/>
        <v>0.23565</v>
      </c>
      <c r="N570" s="195"/>
      <c r="O570" s="233">
        <f>VLOOKUP(I570,BM!$B$3:$Y$62,17,FALSE)</f>
        <v>1.88</v>
      </c>
      <c r="P570" s="195" t="s">
        <v>112</v>
      </c>
      <c r="Q570" s="227">
        <f t="shared" si="121"/>
        <v>0.44302199999999997</v>
      </c>
      <c r="R570" s="226">
        <v>1</v>
      </c>
      <c r="S570" s="227">
        <f t="shared" si="123"/>
        <v>1.44</v>
      </c>
      <c r="T570" s="203" t="s">
        <v>48</v>
      </c>
      <c r="U570" s="183" t="str">
        <f t="shared" si="122"/>
        <v>1.44 Hrs</v>
      </c>
    </row>
    <row r="571" spans="3:21" s="172" customFormat="1" ht="20.25" customHeight="1">
      <c r="C571" s="185">
        <f>D571</f>
        <v>571</v>
      </c>
      <c r="D571" s="190">
        <f t="shared" si="110"/>
        <v>571</v>
      </c>
      <c r="E571" s="196" t="s">
        <v>578</v>
      </c>
      <c r="F571" s="197">
        <f>D564</f>
        <v>564</v>
      </c>
      <c r="G571" s="193"/>
      <c r="H571" s="193"/>
      <c r="I571" s="195"/>
      <c r="J571" s="195"/>
      <c r="K571" s="221"/>
      <c r="L571" s="195"/>
      <c r="M571" s="204"/>
      <c r="N571" s="195"/>
      <c r="O571" s="205"/>
      <c r="P571" s="195"/>
      <c r="Q571" s="227"/>
      <c r="R571" s="226"/>
      <c r="S571" s="227"/>
      <c r="T571" s="203"/>
      <c r="U571" s="183"/>
    </row>
    <row r="572" spans="3:21" s="172" customFormat="1" ht="20.25" customHeight="1">
      <c r="C572" s="185"/>
      <c r="D572" s="190">
        <f t="shared" si="110"/>
        <v>572</v>
      </c>
      <c r="E572" s="194" t="s">
        <v>579</v>
      </c>
      <c r="F572" s="198"/>
      <c r="G572" s="193" t="s">
        <v>149</v>
      </c>
      <c r="H572" s="193"/>
      <c r="I572" s="211">
        <v>20</v>
      </c>
      <c r="J572" s="212" t="str">
        <f>J563</f>
        <v>40NB</v>
      </c>
      <c r="K572" s="221">
        <v>1</v>
      </c>
      <c r="L572" s="195" t="s">
        <v>39</v>
      </c>
      <c r="M572" s="204">
        <v>1</v>
      </c>
      <c r="N572" s="195" t="s">
        <v>564</v>
      </c>
      <c r="O572" s="233">
        <f>VLOOKUP(I572,BM!$B$3:$Y$62,23,FALSE)</f>
        <v>8</v>
      </c>
      <c r="P572" s="195" t="s">
        <v>112</v>
      </c>
      <c r="Q572" s="227">
        <f t="shared" si="121"/>
        <v>8</v>
      </c>
      <c r="R572" s="226">
        <v>1</v>
      </c>
      <c r="S572" s="227">
        <f t="shared" si="123"/>
        <v>9</v>
      </c>
      <c r="T572" s="203" t="s">
        <v>48</v>
      </c>
      <c r="U572" s="183" t="str">
        <f t="shared" si="122"/>
        <v>9 Hrs</v>
      </c>
    </row>
    <row r="573" spans="3:21" s="172" customFormat="1" ht="20.25" customHeight="1">
      <c r="C573" s="185"/>
      <c r="D573" s="190">
        <f t="shared" si="110"/>
        <v>573</v>
      </c>
      <c r="E573" s="194" t="s">
        <v>580</v>
      </c>
      <c r="F573" s="198">
        <f t="shared" si="124"/>
        <v>572</v>
      </c>
      <c r="G573" s="193" t="s">
        <v>63</v>
      </c>
      <c r="H573" s="193"/>
      <c r="I573" s="211" t="s">
        <v>581</v>
      </c>
      <c r="J573" s="198" t="str">
        <f>J563</f>
        <v>40NB</v>
      </c>
      <c r="K573" s="221">
        <v>1</v>
      </c>
      <c r="L573" s="195" t="s">
        <v>485</v>
      </c>
      <c r="M573" s="204">
        <v>1</v>
      </c>
      <c r="N573" s="195" t="s">
        <v>39</v>
      </c>
      <c r="O573" s="205">
        <v>1</v>
      </c>
      <c r="P573" s="195" t="s">
        <v>41</v>
      </c>
      <c r="Q573" s="227">
        <f t="shared" si="121"/>
        <v>1</v>
      </c>
      <c r="R573" s="226"/>
      <c r="S573" s="227">
        <f t="shared" si="123"/>
        <v>1</v>
      </c>
      <c r="T573" s="203" t="s">
        <v>48</v>
      </c>
      <c r="U573" s="183" t="str">
        <f t="shared" si="122"/>
        <v>1 Hrs</v>
      </c>
    </row>
    <row r="574" spans="3:21" s="172" customFormat="1" ht="20.25" customHeight="1">
      <c r="C574" s="185">
        <f t="shared" ref="C574:C575" si="129">D574</f>
        <v>574</v>
      </c>
      <c r="D574" s="190">
        <f t="shared" si="110"/>
        <v>574</v>
      </c>
      <c r="E574" s="234" t="s">
        <v>582</v>
      </c>
      <c r="F574" s="197"/>
      <c r="G574" s="193"/>
      <c r="H574" s="193"/>
      <c r="I574" s="195"/>
      <c r="J574" s="195"/>
      <c r="K574" s="221"/>
      <c r="L574" s="195"/>
      <c r="M574" s="204"/>
      <c r="N574" s="195"/>
      <c r="O574" s="205"/>
      <c r="P574" s="195"/>
      <c r="Q574" s="227"/>
      <c r="R574" s="226"/>
      <c r="S574" s="227"/>
      <c r="T574" s="203"/>
      <c r="U574" s="183"/>
    </row>
    <row r="575" spans="3:21" s="172" customFormat="1" ht="20.25" customHeight="1">
      <c r="C575" s="185">
        <f t="shared" si="129"/>
        <v>575</v>
      </c>
      <c r="D575" s="190">
        <f t="shared" si="110"/>
        <v>575</v>
      </c>
      <c r="E575" s="196" t="s">
        <v>583</v>
      </c>
      <c r="F575" s="197">
        <f>D13</f>
        <v>13</v>
      </c>
      <c r="G575" s="193"/>
      <c r="H575" s="193"/>
      <c r="I575" s="195"/>
      <c r="J575" s="195"/>
      <c r="K575" s="221"/>
      <c r="L575" s="195"/>
      <c r="M575" s="204"/>
      <c r="N575" s="195"/>
      <c r="O575" s="205"/>
      <c r="P575" s="195"/>
      <c r="Q575" s="227"/>
      <c r="R575" s="226"/>
      <c r="S575" s="227"/>
      <c r="T575" s="203"/>
      <c r="U575" s="183"/>
    </row>
    <row r="576" spans="3:21" s="172" customFormat="1" ht="20.25" customHeight="1">
      <c r="C576" s="185"/>
      <c r="D576" s="190">
        <f t="shared" si="110"/>
        <v>576</v>
      </c>
      <c r="E576" s="194" t="s">
        <v>584</v>
      </c>
      <c r="F576" s="198"/>
      <c r="G576" s="193" t="s">
        <v>37</v>
      </c>
      <c r="H576" s="193"/>
      <c r="I576" s="195"/>
      <c r="J576" s="195"/>
      <c r="K576" s="221">
        <v>1</v>
      </c>
      <c r="L576" s="195" t="s">
        <v>39</v>
      </c>
      <c r="M576" s="204">
        <v>1</v>
      </c>
      <c r="N576" s="195"/>
      <c r="O576" s="205">
        <v>4</v>
      </c>
      <c r="P576" s="195" t="s">
        <v>41</v>
      </c>
      <c r="Q576" s="227">
        <f t="shared" si="121"/>
        <v>4</v>
      </c>
      <c r="R576" s="226"/>
      <c r="S576" s="227">
        <f t="shared" si="123"/>
        <v>4</v>
      </c>
      <c r="T576" s="203" t="s">
        <v>42</v>
      </c>
      <c r="U576" s="183" t="str">
        <f t="shared" si="122"/>
        <v>4 Days</v>
      </c>
    </row>
    <row r="577" spans="3:21" s="172" customFormat="1" ht="20.25" customHeight="1">
      <c r="C577" s="185"/>
      <c r="D577" s="190">
        <f t="shared" si="110"/>
        <v>577</v>
      </c>
      <c r="E577" s="194" t="s">
        <v>585</v>
      </c>
      <c r="F577" s="198">
        <f t="shared" si="124"/>
        <v>576</v>
      </c>
      <c r="G577" s="193" t="s">
        <v>44</v>
      </c>
      <c r="H577" s="193"/>
      <c r="I577" s="211">
        <v>50</v>
      </c>
      <c r="J577" s="221" t="s">
        <v>586</v>
      </c>
      <c r="K577" s="221">
        <v>1</v>
      </c>
      <c r="L577" s="195" t="s">
        <v>81</v>
      </c>
      <c r="M577" s="214">
        <f>LEFT(J577,SEARCH(" ",J577,1)-1)*1.28*3.142/1000</f>
        <v>6.2337280000000002</v>
      </c>
      <c r="N577" s="195" t="s">
        <v>139</v>
      </c>
      <c r="O577" s="233">
        <f>VLOOKUP(I577,BM!$B$3:$Y$62,2,FALSE)</f>
        <v>0.1</v>
      </c>
      <c r="P577" s="195" t="s">
        <v>112</v>
      </c>
      <c r="Q577" s="227">
        <f t="shared" si="121"/>
        <v>0.62337280000000006</v>
      </c>
      <c r="R577" s="226">
        <v>1</v>
      </c>
      <c r="S577" s="227">
        <f t="shared" si="123"/>
        <v>1.62</v>
      </c>
      <c r="T577" s="203" t="s">
        <v>48</v>
      </c>
      <c r="U577" s="183" t="str">
        <f t="shared" si="122"/>
        <v>1.62 Hrs</v>
      </c>
    </row>
    <row r="578" spans="3:21" s="172" customFormat="1" ht="20.25" customHeight="1">
      <c r="C578" s="185"/>
      <c r="D578" s="190">
        <f t="shared" si="110"/>
        <v>578</v>
      </c>
      <c r="E578" s="194" t="s">
        <v>587</v>
      </c>
      <c r="F578" s="198">
        <f t="shared" si="124"/>
        <v>577</v>
      </c>
      <c r="G578" s="193" t="s">
        <v>44</v>
      </c>
      <c r="H578" s="193"/>
      <c r="I578" s="220">
        <v>50</v>
      </c>
      <c r="J578" s="221" t="s">
        <v>586</v>
      </c>
      <c r="K578" s="221">
        <v>1</v>
      </c>
      <c r="L578" s="195" t="s">
        <v>81</v>
      </c>
      <c r="M578" s="222">
        <v>1</v>
      </c>
      <c r="N578" s="195" t="s">
        <v>81</v>
      </c>
      <c r="O578" s="233">
        <v>1</v>
      </c>
      <c r="P578" s="195" t="s">
        <v>162</v>
      </c>
      <c r="Q578" s="227">
        <f t="shared" si="121"/>
        <v>1</v>
      </c>
      <c r="R578" s="226">
        <v>1</v>
      </c>
      <c r="S578" s="227">
        <f t="shared" si="123"/>
        <v>2</v>
      </c>
      <c r="T578" s="203" t="s">
        <v>48</v>
      </c>
      <c r="U578" s="183" t="str">
        <f t="shared" si="122"/>
        <v>2 Hrs</v>
      </c>
    </row>
    <row r="579" spans="3:21" s="172" customFormat="1" ht="20.25" customHeight="1">
      <c r="C579" s="185"/>
      <c r="D579" s="190">
        <f t="shared" ref="D579:D642" si="130">D578+1</f>
        <v>579</v>
      </c>
      <c r="E579" s="194" t="s">
        <v>588</v>
      </c>
      <c r="F579" s="198">
        <f t="shared" si="124"/>
        <v>578</v>
      </c>
      <c r="G579" s="193" t="s">
        <v>52</v>
      </c>
      <c r="H579" s="193"/>
      <c r="I579" s="220">
        <v>50</v>
      </c>
      <c r="J579" s="221" t="s">
        <v>586</v>
      </c>
      <c r="K579" s="221">
        <v>1</v>
      </c>
      <c r="L579" s="195" t="s">
        <v>81</v>
      </c>
      <c r="M579" s="214">
        <f>LEFT(J579,SEARCH(" ",J579,1)-1)*1.28*3.142/1000</f>
        <v>6.2337280000000002</v>
      </c>
      <c r="N579" s="195" t="s">
        <v>139</v>
      </c>
      <c r="O579" s="233">
        <f>VLOOKUP(I579,BM!$B$3:$Y$62,3,FALSE)</f>
        <v>0.25</v>
      </c>
      <c r="P579" s="195" t="s">
        <v>112</v>
      </c>
      <c r="Q579" s="227">
        <f t="shared" si="121"/>
        <v>1.558432</v>
      </c>
      <c r="R579" s="226">
        <v>1</v>
      </c>
      <c r="S579" s="227">
        <f t="shared" si="123"/>
        <v>2.56</v>
      </c>
      <c r="T579" s="203" t="s">
        <v>48</v>
      </c>
      <c r="U579" s="183" t="str">
        <f t="shared" si="122"/>
        <v>2.56 Hrs</v>
      </c>
    </row>
    <row r="580" spans="3:21" s="172" customFormat="1" ht="20.25" customHeight="1">
      <c r="C580" s="185"/>
      <c r="D580" s="190">
        <f t="shared" si="130"/>
        <v>580</v>
      </c>
      <c r="E580" s="194" t="s">
        <v>589</v>
      </c>
      <c r="F580" s="198">
        <f t="shared" si="124"/>
        <v>579</v>
      </c>
      <c r="G580" s="193" t="s">
        <v>61</v>
      </c>
      <c r="H580" s="193"/>
      <c r="I580" s="220">
        <f>I577</f>
        <v>50</v>
      </c>
      <c r="J580" s="221" t="s">
        <v>586</v>
      </c>
      <c r="K580" s="221">
        <v>1</v>
      </c>
      <c r="L580" s="195" t="s">
        <v>81</v>
      </c>
      <c r="M580" s="214">
        <f>LEFT(J580,SEARCH(" ",J580,1)-1)*1.28*3.142/1000</f>
        <v>6.2337280000000002</v>
      </c>
      <c r="N580" s="195" t="s">
        <v>139</v>
      </c>
      <c r="O580" s="233">
        <f>VLOOKUP(I580,BM!$B$3:$Y$62,6,FALSE)</f>
        <v>1</v>
      </c>
      <c r="P580" s="195" t="s">
        <v>112</v>
      </c>
      <c r="Q580" s="227">
        <f t="shared" si="121"/>
        <v>6.2337280000000002</v>
      </c>
      <c r="R580" s="226">
        <v>1</v>
      </c>
      <c r="S580" s="227">
        <f t="shared" si="123"/>
        <v>7.23</v>
      </c>
      <c r="T580" s="203" t="s">
        <v>48</v>
      </c>
      <c r="U580" s="183" t="str">
        <f t="shared" si="122"/>
        <v>7.23 Hrs</v>
      </c>
    </row>
    <row r="581" spans="3:21" s="172" customFormat="1" ht="20.25" customHeight="1">
      <c r="C581" s="185">
        <f>D581</f>
        <v>581</v>
      </c>
      <c r="D581" s="190">
        <f t="shared" si="130"/>
        <v>581</v>
      </c>
      <c r="E581" s="196" t="s">
        <v>590</v>
      </c>
      <c r="F581" s="197">
        <f>D575</f>
        <v>575</v>
      </c>
      <c r="G581" s="193"/>
      <c r="H581" s="193"/>
      <c r="I581" s="195"/>
      <c r="J581" s="195"/>
      <c r="K581" s="221"/>
      <c r="L581" s="195"/>
      <c r="M581" s="204"/>
      <c r="N581" s="195"/>
      <c r="O581" s="205"/>
      <c r="P581" s="195"/>
      <c r="Q581" s="227"/>
      <c r="R581" s="226"/>
      <c r="S581" s="227"/>
      <c r="T581" s="203"/>
      <c r="U581" s="183"/>
    </row>
    <row r="582" spans="3:21" s="172" customFormat="1" ht="20.25" customHeight="1">
      <c r="C582" s="185"/>
      <c r="D582" s="190">
        <f t="shared" si="130"/>
        <v>582</v>
      </c>
      <c r="E582" s="194" t="s">
        <v>591</v>
      </c>
      <c r="F582" s="198"/>
      <c r="G582" s="193" t="s">
        <v>55</v>
      </c>
      <c r="H582" s="193"/>
      <c r="I582" s="220">
        <f>I580</f>
        <v>50</v>
      </c>
      <c r="J582" s="221" t="str">
        <f>J579</f>
        <v>1550 mm id</v>
      </c>
      <c r="K582" s="221">
        <v>1</v>
      </c>
      <c r="L582" s="195" t="s">
        <v>81</v>
      </c>
      <c r="M582" s="204">
        <v>1</v>
      </c>
      <c r="N582" s="195" t="s">
        <v>39</v>
      </c>
      <c r="O582" s="205">
        <v>10</v>
      </c>
      <c r="P582" s="195" t="s">
        <v>41</v>
      </c>
      <c r="Q582" s="227">
        <f t="shared" si="121"/>
        <v>10</v>
      </c>
      <c r="R582" s="226"/>
      <c r="S582" s="227">
        <f t="shared" si="123"/>
        <v>10</v>
      </c>
      <c r="T582" s="203" t="s">
        <v>42</v>
      </c>
      <c r="U582" s="183" t="str">
        <f t="shared" si="122"/>
        <v>10 Days</v>
      </c>
    </row>
    <row r="583" spans="3:21" s="172" customFormat="1" ht="20.25" customHeight="1">
      <c r="C583" s="185"/>
      <c r="D583" s="190">
        <f t="shared" si="130"/>
        <v>583</v>
      </c>
      <c r="E583" s="194" t="s">
        <v>592</v>
      </c>
      <c r="F583" s="198">
        <f t="shared" si="124"/>
        <v>582</v>
      </c>
      <c r="G583" s="193" t="s">
        <v>44</v>
      </c>
      <c r="H583" s="193"/>
      <c r="I583" s="220">
        <f>I580</f>
        <v>50</v>
      </c>
      <c r="J583" s="221" t="str">
        <f>J580</f>
        <v>1550 mm id</v>
      </c>
      <c r="K583" s="221">
        <v>1</v>
      </c>
      <c r="L583" s="195" t="s">
        <v>81</v>
      </c>
      <c r="M583" s="204">
        <v>1</v>
      </c>
      <c r="N583" s="195" t="s">
        <v>39</v>
      </c>
      <c r="O583" s="205">
        <v>1</v>
      </c>
      <c r="P583" s="195" t="s">
        <v>41</v>
      </c>
      <c r="Q583" s="227">
        <f t="shared" si="121"/>
        <v>1</v>
      </c>
      <c r="R583" s="226"/>
      <c r="S583" s="227">
        <f t="shared" si="123"/>
        <v>1</v>
      </c>
      <c r="T583" s="203" t="s">
        <v>42</v>
      </c>
      <c r="U583" s="183" t="str">
        <f t="shared" si="122"/>
        <v>1 Days</v>
      </c>
    </row>
    <row r="584" spans="3:21" s="172" customFormat="1" ht="20.25" customHeight="1">
      <c r="C584" s="185">
        <f>D584</f>
        <v>584</v>
      </c>
      <c r="D584" s="190">
        <f t="shared" si="130"/>
        <v>584</v>
      </c>
      <c r="E584" s="196" t="s">
        <v>593</v>
      </c>
      <c r="F584" s="197">
        <f>D581</f>
        <v>581</v>
      </c>
      <c r="G584" s="193"/>
      <c r="H584" s="193"/>
      <c r="I584" s="195"/>
      <c r="J584" s="195"/>
      <c r="K584" s="221"/>
      <c r="L584" s="195"/>
      <c r="M584" s="204"/>
      <c r="N584" s="195"/>
      <c r="O584" s="205"/>
      <c r="P584" s="195"/>
      <c r="Q584" s="227"/>
      <c r="R584" s="226"/>
      <c r="S584" s="227"/>
      <c r="T584" s="203"/>
      <c r="U584" s="183"/>
    </row>
    <row r="585" spans="3:21" s="172" customFormat="1" ht="20.25" customHeight="1">
      <c r="C585" s="185"/>
      <c r="D585" s="190">
        <f t="shared" si="130"/>
        <v>585</v>
      </c>
      <c r="E585" s="194" t="s">
        <v>594</v>
      </c>
      <c r="F585" s="198"/>
      <c r="G585" s="193" t="s">
        <v>44</v>
      </c>
      <c r="H585" s="193"/>
      <c r="I585" s="220">
        <f>I583</f>
        <v>50</v>
      </c>
      <c r="J585" s="221" t="str">
        <f>J583</f>
        <v>1550 mm id</v>
      </c>
      <c r="K585" s="221">
        <v>1</v>
      </c>
      <c r="L585" s="195" t="s">
        <v>81</v>
      </c>
      <c r="M585" s="204">
        <v>1</v>
      </c>
      <c r="N585" s="195" t="s">
        <v>39</v>
      </c>
      <c r="O585" s="205">
        <v>4</v>
      </c>
      <c r="P585" s="195" t="s">
        <v>595</v>
      </c>
      <c r="Q585" s="227">
        <f t="shared" si="121"/>
        <v>4</v>
      </c>
      <c r="R585" s="226"/>
      <c r="S585" s="227">
        <f t="shared" si="123"/>
        <v>4</v>
      </c>
      <c r="T585" s="203" t="s">
        <v>48</v>
      </c>
      <c r="U585" s="183" t="str">
        <f t="shared" si="122"/>
        <v>4 Hrs</v>
      </c>
    </row>
    <row r="586" spans="3:21" s="172" customFormat="1" ht="20.25" customHeight="1">
      <c r="C586" s="185"/>
      <c r="D586" s="190">
        <f t="shared" si="130"/>
        <v>586</v>
      </c>
      <c r="E586" s="194" t="s">
        <v>593</v>
      </c>
      <c r="F586" s="198">
        <f t="shared" si="124"/>
        <v>585</v>
      </c>
      <c r="G586" s="193" t="s">
        <v>52</v>
      </c>
      <c r="H586" s="193"/>
      <c r="I586" s="220">
        <f>I583</f>
        <v>50</v>
      </c>
      <c r="J586" s="221" t="str">
        <f>J583</f>
        <v>1550 mm id</v>
      </c>
      <c r="K586" s="221">
        <v>1</v>
      </c>
      <c r="L586" s="195" t="s">
        <v>81</v>
      </c>
      <c r="M586" s="214">
        <f>LEFT(J586,SEARCH(" ",J586,1)-1)*1.28*3.142/1000</f>
        <v>6.2337280000000002</v>
      </c>
      <c r="N586" s="195" t="s">
        <v>249</v>
      </c>
      <c r="O586" s="233">
        <f>VLOOKUP(I586,BM!$B$3:$Y$62,2,FALSE)</f>
        <v>0.1</v>
      </c>
      <c r="P586" s="195" t="s">
        <v>112</v>
      </c>
      <c r="Q586" s="227">
        <f t="shared" si="121"/>
        <v>0.62337280000000006</v>
      </c>
      <c r="R586" s="226">
        <v>2</v>
      </c>
      <c r="S586" s="227">
        <f t="shared" si="123"/>
        <v>2.62</v>
      </c>
      <c r="T586" s="203" t="s">
        <v>48</v>
      </c>
      <c r="U586" s="183" t="str">
        <f t="shared" si="122"/>
        <v>2.62 Hrs</v>
      </c>
    </row>
    <row r="587" spans="3:21" s="172" customFormat="1" ht="20.25" customHeight="1">
      <c r="C587" s="185">
        <f>D587</f>
        <v>587</v>
      </c>
      <c r="D587" s="190">
        <f t="shared" si="130"/>
        <v>587</v>
      </c>
      <c r="E587" s="196" t="s">
        <v>596</v>
      </c>
      <c r="F587" s="197">
        <f>D584</f>
        <v>584</v>
      </c>
      <c r="G587" s="193"/>
      <c r="H587" s="193"/>
      <c r="I587" s="195"/>
      <c r="J587" s="195"/>
      <c r="K587" s="221"/>
      <c r="L587" s="195"/>
      <c r="M587" s="204"/>
      <c r="N587" s="195"/>
      <c r="O587" s="205"/>
      <c r="P587" s="195"/>
      <c r="Q587" s="227"/>
      <c r="R587" s="226"/>
      <c r="S587" s="227"/>
      <c r="T587" s="203"/>
      <c r="U587" s="183"/>
    </row>
    <row r="588" spans="3:21" s="172" customFormat="1" ht="20.25" customHeight="1">
      <c r="C588" s="185"/>
      <c r="D588" s="190">
        <f t="shared" si="130"/>
        <v>588</v>
      </c>
      <c r="E588" s="194" t="s">
        <v>597</v>
      </c>
      <c r="F588" s="198"/>
      <c r="G588" s="193" t="s">
        <v>121</v>
      </c>
      <c r="H588" s="193"/>
      <c r="I588" s="220">
        <v>25</v>
      </c>
      <c r="J588" s="221" t="str">
        <f>J586</f>
        <v>1550 mm id</v>
      </c>
      <c r="K588" s="221">
        <v>1</v>
      </c>
      <c r="L588" s="195" t="s">
        <v>81</v>
      </c>
      <c r="M588" s="214">
        <f>LEFT(J588,SEARCH(" ",J588,1)-1)*1.28*3.142/1000</f>
        <v>6.2337280000000002</v>
      </c>
      <c r="N588" s="195" t="s">
        <v>249</v>
      </c>
      <c r="O588" s="233">
        <f>VLOOKUP(I588,BM!$B$3:$Y$62,6,FALSE)</f>
        <v>1</v>
      </c>
      <c r="P588" s="195" t="s">
        <v>112</v>
      </c>
      <c r="Q588" s="227">
        <f t="shared" si="121"/>
        <v>6.2337280000000002</v>
      </c>
      <c r="R588" s="226">
        <v>2</v>
      </c>
      <c r="S588" s="227">
        <f t="shared" si="123"/>
        <v>8.23</v>
      </c>
      <c r="T588" s="203" t="s">
        <v>48</v>
      </c>
      <c r="U588" s="183" t="str">
        <f t="shared" si="122"/>
        <v>8.23 Hrs</v>
      </c>
    </row>
    <row r="589" spans="3:21" s="172" customFormat="1" ht="20.25" customHeight="1">
      <c r="C589" s="185">
        <f>D589</f>
        <v>589</v>
      </c>
      <c r="D589" s="190">
        <f t="shared" si="130"/>
        <v>589</v>
      </c>
      <c r="E589" s="196" t="s">
        <v>598</v>
      </c>
      <c r="F589" s="197" t="str">
        <f>CONCATENATE(D587,",",D12)</f>
        <v>587,12</v>
      </c>
      <c r="G589" s="193"/>
      <c r="H589" s="193"/>
      <c r="I589" s="195"/>
      <c r="J589" s="195"/>
      <c r="K589" s="221"/>
      <c r="L589" s="195"/>
      <c r="M589" s="204"/>
      <c r="N589" s="195"/>
      <c r="O589" s="205"/>
      <c r="P589" s="195"/>
      <c r="Q589" s="227"/>
      <c r="R589" s="226"/>
      <c r="S589" s="227"/>
      <c r="T589" s="203"/>
      <c r="U589" s="183"/>
    </row>
    <row r="590" spans="3:21" s="172" customFormat="1" ht="20.25" customHeight="1">
      <c r="C590" s="185"/>
      <c r="D590" s="190">
        <f t="shared" si="130"/>
        <v>590</v>
      </c>
      <c r="E590" s="194" t="s">
        <v>598</v>
      </c>
      <c r="F590" s="198"/>
      <c r="G590" s="193" t="s">
        <v>111</v>
      </c>
      <c r="H590" s="193"/>
      <c r="I590" s="220">
        <f>I588</f>
        <v>25</v>
      </c>
      <c r="J590" s="221" t="str">
        <f>J588</f>
        <v>1550 mm id</v>
      </c>
      <c r="K590" s="221">
        <v>1</v>
      </c>
      <c r="L590" s="195" t="s">
        <v>81</v>
      </c>
      <c r="M590" s="214">
        <f>LEFT(J590,SEARCH(" ",J590,1)-1)*1.28*3.142/1000</f>
        <v>6.2337280000000002</v>
      </c>
      <c r="N590" s="195" t="s">
        <v>249</v>
      </c>
      <c r="O590" s="233">
        <f>VLOOKUP(I590,BM!$B$3:$Y$62,15,FALSE)</f>
        <v>1</v>
      </c>
      <c r="P590" s="195" t="s">
        <v>112</v>
      </c>
      <c r="Q590" s="227">
        <f t="shared" si="121"/>
        <v>6.2337280000000002</v>
      </c>
      <c r="R590" s="226">
        <v>2</v>
      </c>
      <c r="S590" s="227">
        <f t="shared" si="123"/>
        <v>8.23</v>
      </c>
      <c r="T590" s="203" t="s">
        <v>48</v>
      </c>
      <c r="U590" s="183" t="str">
        <f t="shared" si="122"/>
        <v>8.23 Hrs</v>
      </c>
    </row>
    <row r="591" spans="3:21" s="172" customFormat="1" ht="20.25" customHeight="1">
      <c r="C591" s="185">
        <f>D591</f>
        <v>591</v>
      </c>
      <c r="D591" s="190">
        <f t="shared" si="130"/>
        <v>591</v>
      </c>
      <c r="E591" s="196" t="s">
        <v>599</v>
      </c>
      <c r="F591" s="197">
        <f>D589</f>
        <v>589</v>
      </c>
      <c r="G591" s="193"/>
      <c r="H591" s="193"/>
      <c r="I591" s="195"/>
      <c r="J591" s="195"/>
      <c r="K591" s="221"/>
      <c r="L591" s="195"/>
      <c r="M591" s="204"/>
      <c r="N591" s="195"/>
      <c r="O591" s="205"/>
      <c r="P591" s="195"/>
      <c r="Q591" s="227"/>
      <c r="R591" s="226"/>
      <c r="S591" s="227"/>
      <c r="T591" s="203"/>
      <c r="U591" s="183"/>
    </row>
    <row r="592" spans="3:21" s="172" customFormat="1" ht="20.25" customHeight="1">
      <c r="C592" s="185"/>
      <c r="D592" s="190">
        <f t="shared" si="130"/>
        <v>592</v>
      </c>
      <c r="E592" s="194" t="s">
        <v>599</v>
      </c>
      <c r="F592" s="198"/>
      <c r="G592" s="193" t="s">
        <v>115</v>
      </c>
      <c r="H592" s="193"/>
      <c r="I592" s="211">
        <v>30</v>
      </c>
      <c r="J592" s="221" t="str">
        <f>J590</f>
        <v>1550 mm id</v>
      </c>
      <c r="K592" s="221">
        <v>1</v>
      </c>
      <c r="L592" s="195" t="s">
        <v>81</v>
      </c>
      <c r="M592" s="214">
        <f>LEFT(J592,SEARCH(" ",J592,1)-1)*1.28*3.142/1000</f>
        <v>6.2337280000000002</v>
      </c>
      <c r="N592" s="195" t="s">
        <v>249</v>
      </c>
      <c r="O592" s="233">
        <f>VLOOKUP(I592,BM!$B$3:$Y$62,23,FALSE)</f>
        <v>16.8</v>
      </c>
      <c r="P592" s="195" t="s">
        <v>112</v>
      </c>
      <c r="Q592" s="227">
        <f t="shared" si="121"/>
        <v>104.7266304</v>
      </c>
      <c r="R592" s="226">
        <v>2</v>
      </c>
      <c r="S592" s="227">
        <f t="shared" si="123"/>
        <v>106.73</v>
      </c>
      <c r="T592" s="203" t="s">
        <v>48</v>
      </c>
      <c r="U592" s="183" t="str">
        <f t="shared" si="122"/>
        <v>106.73 Hrs</v>
      </c>
    </row>
    <row r="593" spans="3:21" s="172" customFormat="1" ht="20.25" customHeight="1">
      <c r="C593" s="185"/>
      <c r="D593" s="190">
        <f t="shared" si="130"/>
        <v>593</v>
      </c>
      <c r="E593" s="194" t="s">
        <v>600</v>
      </c>
      <c r="F593" s="198">
        <f>D592</f>
        <v>592</v>
      </c>
      <c r="G593" s="193" t="s">
        <v>299</v>
      </c>
      <c r="H593" s="193"/>
      <c r="I593" s="211">
        <v>16</v>
      </c>
      <c r="J593" s="195" t="str">
        <f>J592</f>
        <v>1550 mm id</v>
      </c>
      <c r="K593" s="221">
        <v>1</v>
      </c>
      <c r="L593" s="195" t="s">
        <v>81</v>
      </c>
      <c r="M593" s="204">
        <v>1</v>
      </c>
      <c r="N593" s="195" t="s">
        <v>39</v>
      </c>
      <c r="O593" s="205">
        <v>4</v>
      </c>
      <c r="P593" s="195" t="s">
        <v>112</v>
      </c>
      <c r="Q593" s="227">
        <f t="shared" si="121"/>
        <v>4</v>
      </c>
      <c r="R593" s="226">
        <v>1</v>
      </c>
      <c r="S593" s="227">
        <f t="shared" si="123"/>
        <v>5</v>
      </c>
      <c r="T593" s="203" t="s">
        <v>48</v>
      </c>
      <c r="U593" s="183" t="str">
        <f t="shared" si="122"/>
        <v>5 Hrs</v>
      </c>
    </row>
    <row r="594" spans="3:21" s="172" customFormat="1" ht="20.25" customHeight="1">
      <c r="C594" s="185"/>
      <c r="D594" s="190">
        <f t="shared" si="130"/>
        <v>594</v>
      </c>
      <c r="E594" s="194" t="s">
        <v>601</v>
      </c>
      <c r="F594" s="198">
        <f t="shared" si="124"/>
        <v>593</v>
      </c>
      <c r="G594" s="193" t="s">
        <v>115</v>
      </c>
      <c r="H594" s="193"/>
      <c r="I594" s="211">
        <v>16</v>
      </c>
      <c r="J594" s="221" t="s">
        <v>602</v>
      </c>
      <c r="K594" s="221">
        <v>1</v>
      </c>
      <c r="L594" s="195" t="s">
        <v>81</v>
      </c>
      <c r="M594" s="214">
        <f>LEFT(J594,SEARCH(" ",J594,1)-1)/1000</f>
        <v>3</v>
      </c>
      <c r="N594" s="195" t="s">
        <v>249</v>
      </c>
      <c r="O594" s="233">
        <f>VLOOKUP(I594,BM!$B$3:$Y$62,22,FALSE)</f>
        <v>2.8</v>
      </c>
      <c r="P594" s="195" t="s">
        <v>112</v>
      </c>
      <c r="Q594" s="227">
        <f t="shared" si="121"/>
        <v>8.3999999999999986</v>
      </c>
      <c r="R594" s="226">
        <v>2</v>
      </c>
      <c r="S594" s="227">
        <f t="shared" si="123"/>
        <v>10.4</v>
      </c>
      <c r="T594" s="203" t="s">
        <v>48</v>
      </c>
      <c r="U594" s="183" t="str">
        <f t="shared" si="122"/>
        <v>10.4 Hrs</v>
      </c>
    </row>
    <row r="595" spans="3:21" s="172" customFormat="1" ht="20.25" customHeight="1">
      <c r="C595" s="185"/>
      <c r="D595" s="190">
        <f t="shared" si="130"/>
        <v>595</v>
      </c>
      <c r="E595" s="194" t="s">
        <v>603</v>
      </c>
      <c r="F595" s="198">
        <f t="shared" si="124"/>
        <v>594</v>
      </c>
      <c r="G595" s="193" t="s">
        <v>44</v>
      </c>
      <c r="H595" s="193"/>
      <c r="I595" s="211">
        <v>16</v>
      </c>
      <c r="J595" s="195" t="str">
        <f>J594</f>
        <v>3000 mm</v>
      </c>
      <c r="K595" s="221">
        <v>1</v>
      </c>
      <c r="L595" s="195" t="s">
        <v>81</v>
      </c>
      <c r="M595" s="204">
        <v>1</v>
      </c>
      <c r="N595" s="195" t="s">
        <v>39</v>
      </c>
      <c r="O595" s="205">
        <v>6</v>
      </c>
      <c r="P595" s="195" t="s">
        <v>112</v>
      </c>
      <c r="Q595" s="227">
        <f t="shared" si="121"/>
        <v>6</v>
      </c>
      <c r="R595" s="226">
        <v>1</v>
      </c>
      <c r="S595" s="227">
        <f t="shared" si="123"/>
        <v>7</v>
      </c>
      <c r="T595" s="203" t="s">
        <v>48</v>
      </c>
      <c r="U595" s="183" t="str">
        <f t="shared" si="122"/>
        <v>7 Hrs</v>
      </c>
    </row>
    <row r="596" spans="3:21" s="172" customFormat="1" ht="20.25" customHeight="1">
      <c r="C596" s="185"/>
      <c r="D596" s="190">
        <f t="shared" si="130"/>
        <v>596</v>
      </c>
      <c r="E596" s="194" t="s">
        <v>604</v>
      </c>
      <c r="F596" s="198">
        <f t="shared" si="124"/>
        <v>595</v>
      </c>
      <c r="G596" s="193" t="s">
        <v>63</v>
      </c>
      <c r="H596" s="193"/>
      <c r="I596" s="211">
        <v>16</v>
      </c>
      <c r="J596" s="195" t="str">
        <f>J595</f>
        <v>3000 mm</v>
      </c>
      <c r="K596" s="221">
        <v>1</v>
      </c>
      <c r="L596" s="195" t="s">
        <v>81</v>
      </c>
      <c r="M596" s="204">
        <v>1</v>
      </c>
      <c r="N596" s="195" t="s">
        <v>39</v>
      </c>
      <c r="O596" s="205">
        <v>1</v>
      </c>
      <c r="P596" s="195" t="s">
        <v>112</v>
      </c>
      <c r="Q596" s="227">
        <f t="shared" si="121"/>
        <v>1</v>
      </c>
      <c r="R596" s="226">
        <v>1</v>
      </c>
      <c r="S596" s="227">
        <f t="shared" si="123"/>
        <v>2</v>
      </c>
      <c r="T596" s="203" t="s">
        <v>48</v>
      </c>
      <c r="U596" s="183" t="str">
        <f t="shared" si="122"/>
        <v>2 Hrs</v>
      </c>
    </row>
    <row r="597" spans="3:21" s="172" customFormat="1" ht="20.25" customHeight="1">
      <c r="C597" s="185">
        <f>D597</f>
        <v>597</v>
      </c>
      <c r="D597" s="190">
        <f t="shared" si="130"/>
        <v>597</v>
      </c>
      <c r="E597" s="196" t="s">
        <v>605</v>
      </c>
      <c r="F597" s="197">
        <f>D591</f>
        <v>591</v>
      </c>
      <c r="G597" s="193"/>
      <c r="H597" s="193"/>
      <c r="I597" s="195"/>
      <c r="J597" s="195"/>
      <c r="K597" s="221"/>
      <c r="L597" s="195"/>
      <c r="M597" s="204"/>
      <c r="N597" s="195"/>
      <c r="O597" s="205"/>
      <c r="P597" s="195"/>
      <c r="Q597" s="227"/>
      <c r="R597" s="226"/>
      <c r="S597" s="227"/>
      <c r="T597" s="203"/>
      <c r="U597" s="183"/>
    </row>
    <row r="598" spans="3:21" s="172" customFormat="1" ht="20.25" customHeight="1">
      <c r="C598" s="185"/>
      <c r="D598" s="190">
        <f t="shared" si="130"/>
        <v>598</v>
      </c>
      <c r="E598" s="194" t="s">
        <v>606</v>
      </c>
      <c r="F598" s="198"/>
      <c r="G598" s="193" t="s">
        <v>55</v>
      </c>
      <c r="H598" s="193"/>
      <c r="I598" s="195"/>
      <c r="J598" s="221" t="str">
        <f>J593</f>
        <v>1550 mm id</v>
      </c>
      <c r="K598" s="221">
        <v>1</v>
      </c>
      <c r="L598" s="195" t="s">
        <v>81</v>
      </c>
      <c r="M598" s="204">
        <v>1</v>
      </c>
      <c r="N598" s="195" t="s">
        <v>39</v>
      </c>
      <c r="O598" s="205">
        <v>3</v>
      </c>
      <c r="P598" s="195" t="s">
        <v>41</v>
      </c>
      <c r="Q598" s="227">
        <f t="shared" si="121"/>
        <v>3</v>
      </c>
      <c r="R598" s="226">
        <v>0</v>
      </c>
      <c r="S598" s="227">
        <f t="shared" si="123"/>
        <v>3</v>
      </c>
      <c r="T598" s="203" t="s">
        <v>48</v>
      </c>
      <c r="U598" s="183" t="str">
        <f t="shared" si="122"/>
        <v>3 Hrs</v>
      </c>
    </row>
    <row r="599" spans="3:21" s="172" customFormat="1" ht="20.25" customHeight="1">
      <c r="C599" s="185"/>
      <c r="D599" s="190">
        <f t="shared" si="130"/>
        <v>599</v>
      </c>
      <c r="E599" s="194" t="s">
        <v>607</v>
      </c>
      <c r="F599" s="198">
        <f t="shared" si="124"/>
        <v>598</v>
      </c>
      <c r="G599" s="193" t="s">
        <v>55</v>
      </c>
      <c r="H599" s="193"/>
      <c r="I599" s="195"/>
      <c r="J599" s="221" t="str">
        <f>J598</f>
        <v>1550 mm id</v>
      </c>
      <c r="K599" s="221">
        <v>1</v>
      </c>
      <c r="L599" s="195" t="s">
        <v>81</v>
      </c>
      <c r="M599" s="204">
        <v>1</v>
      </c>
      <c r="N599" s="195" t="s">
        <v>39</v>
      </c>
      <c r="O599" s="205">
        <v>4</v>
      </c>
      <c r="P599" s="195" t="s">
        <v>41</v>
      </c>
      <c r="Q599" s="227">
        <f t="shared" si="121"/>
        <v>4</v>
      </c>
      <c r="R599" s="226">
        <v>0</v>
      </c>
      <c r="S599" s="227">
        <f t="shared" si="123"/>
        <v>4</v>
      </c>
      <c r="T599" s="203" t="s">
        <v>48</v>
      </c>
      <c r="U599" s="183" t="str">
        <f t="shared" si="122"/>
        <v>4 Hrs</v>
      </c>
    </row>
    <row r="600" spans="3:21" s="172" customFormat="1" ht="20.25" customHeight="1">
      <c r="C600" s="185"/>
      <c r="D600" s="190">
        <f t="shared" si="130"/>
        <v>600</v>
      </c>
      <c r="E600" s="194" t="s">
        <v>608</v>
      </c>
      <c r="F600" s="198">
        <f t="shared" si="124"/>
        <v>599</v>
      </c>
      <c r="G600" s="193" t="s">
        <v>44</v>
      </c>
      <c r="H600" s="193"/>
      <c r="I600" s="195"/>
      <c r="J600" s="221" t="str">
        <f>J599</f>
        <v>1550 mm id</v>
      </c>
      <c r="K600" s="221">
        <v>1</v>
      </c>
      <c r="L600" s="195" t="s">
        <v>81</v>
      </c>
      <c r="M600" s="204">
        <v>1</v>
      </c>
      <c r="N600" s="195" t="s">
        <v>39</v>
      </c>
      <c r="O600" s="205">
        <v>0.5</v>
      </c>
      <c r="P600" s="195" t="s">
        <v>41</v>
      </c>
      <c r="Q600" s="227">
        <f t="shared" si="121"/>
        <v>0.5</v>
      </c>
      <c r="R600" s="226">
        <v>0</v>
      </c>
      <c r="S600" s="227">
        <f t="shared" si="123"/>
        <v>0.5</v>
      </c>
      <c r="T600" s="203" t="s">
        <v>48</v>
      </c>
      <c r="U600" s="183" t="str">
        <f t="shared" si="122"/>
        <v>0.5 Hrs</v>
      </c>
    </row>
    <row r="601" spans="3:21" s="172" customFormat="1" ht="20.25" customHeight="1">
      <c r="C601" s="185"/>
      <c r="D601" s="190">
        <f t="shared" si="130"/>
        <v>601</v>
      </c>
      <c r="E601" s="194" t="s">
        <v>609</v>
      </c>
      <c r="F601" s="198">
        <f t="shared" si="124"/>
        <v>600</v>
      </c>
      <c r="G601" s="193" t="s">
        <v>55</v>
      </c>
      <c r="H601" s="193"/>
      <c r="I601" s="211" t="s">
        <v>610</v>
      </c>
      <c r="J601" s="195" t="str">
        <f>J600</f>
        <v>1550 mm id</v>
      </c>
      <c r="K601" s="221">
        <v>72</v>
      </c>
      <c r="L601" s="195" t="s">
        <v>611</v>
      </c>
      <c r="M601" s="204">
        <v>1</v>
      </c>
      <c r="N601" s="195" t="s">
        <v>39</v>
      </c>
      <c r="O601" s="205">
        <v>4</v>
      </c>
      <c r="P601" s="195" t="s">
        <v>41</v>
      </c>
      <c r="Q601" s="227">
        <f t="shared" si="121"/>
        <v>4</v>
      </c>
      <c r="R601" s="226">
        <v>0</v>
      </c>
      <c r="S601" s="227">
        <f t="shared" si="123"/>
        <v>4</v>
      </c>
      <c r="T601" s="203" t="s">
        <v>48</v>
      </c>
      <c r="U601" s="183" t="str">
        <f t="shared" si="122"/>
        <v>4 Hrs</v>
      </c>
    </row>
    <row r="602" spans="3:21" s="172" customFormat="1" ht="20.25" customHeight="1">
      <c r="C602" s="185"/>
      <c r="D602" s="190">
        <f t="shared" si="130"/>
        <v>602</v>
      </c>
      <c r="E602" s="194" t="s">
        <v>612</v>
      </c>
      <c r="F602" s="198">
        <f t="shared" si="124"/>
        <v>601</v>
      </c>
      <c r="G602" s="193" t="s">
        <v>44</v>
      </c>
      <c r="H602" s="193"/>
      <c r="I602" s="211" t="s">
        <v>610</v>
      </c>
      <c r="J602" s="195" t="str">
        <f>J601</f>
        <v>1550 mm id</v>
      </c>
      <c r="K602" s="221">
        <v>1</v>
      </c>
      <c r="L602" s="195" t="s">
        <v>39</v>
      </c>
      <c r="M602" s="204">
        <v>1</v>
      </c>
      <c r="N602" s="195" t="s">
        <v>39</v>
      </c>
      <c r="O602" s="205">
        <v>1</v>
      </c>
      <c r="P602" s="195" t="s">
        <v>41</v>
      </c>
      <c r="Q602" s="227">
        <f t="shared" si="121"/>
        <v>1</v>
      </c>
      <c r="R602" s="226">
        <v>0</v>
      </c>
      <c r="S602" s="227">
        <f t="shared" si="123"/>
        <v>1</v>
      </c>
      <c r="T602" s="203" t="s">
        <v>48</v>
      </c>
      <c r="U602" s="183" t="str">
        <f t="shared" si="122"/>
        <v>1 Hrs</v>
      </c>
    </row>
    <row r="603" spans="3:21" s="172" customFormat="1" ht="20.25" customHeight="1">
      <c r="C603" s="185">
        <f t="shared" ref="C603:C604" si="131">D603</f>
        <v>603</v>
      </c>
      <c r="D603" s="190">
        <f t="shared" si="130"/>
        <v>603</v>
      </c>
      <c r="E603" s="196" t="s">
        <v>613</v>
      </c>
      <c r="F603" s="197"/>
      <c r="G603" s="193"/>
      <c r="H603" s="193"/>
      <c r="I603" s="195"/>
      <c r="J603" s="195"/>
      <c r="K603" s="221"/>
      <c r="L603" s="195"/>
      <c r="M603" s="204"/>
      <c r="N603" s="195"/>
      <c r="O603" s="205"/>
      <c r="P603" s="195"/>
      <c r="Q603" s="227"/>
      <c r="R603" s="226"/>
      <c r="S603" s="227"/>
      <c r="T603" s="203"/>
      <c r="U603" s="183"/>
    </row>
    <row r="604" spans="3:21" s="172" customFormat="1" ht="20.25" customHeight="1">
      <c r="C604" s="185">
        <f t="shared" si="131"/>
        <v>604</v>
      </c>
      <c r="D604" s="190">
        <f t="shared" si="130"/>
        <v>604</v>
      </c>
      <c r="E604" s="196" t="s">
        <v>614</v>
      </c>
      <c r="F604" s="197" t="str">
        <f>CONCATENATE(D46,",",D177)</f>
        <v>46,177</v>
      </c>
      <c r="G604" s="193"/>
      <c r="H604" s="193"/>
      <c r="I604" s="195"/>
      <c r="J604" s="195"/>
      <c r="K604" s="221"/>
      <c r="L604" s="195"/>
      <c r="M604" s="204"/>
      <c r="N604" s="195"/>
      <c r="O604" s="205"/>
      <c r="P604" s="195"/>
      <c r="Q604" s="227"/>
      <c r="R604" s="226"/>
      <c r="S604" s="227"/>
      <c r="T604" s="203"/>
      <c r="U604" s="183"/>
    </row>
    <row r="605" spans="3:21" s="172" customFormat="1" ht="20.25" customHeight="1">
      <c r="C605" s="185"/>
      <c r="D605" s="190">
        <f t="shared" si="130"/>
        <v>605</v>
      </c>
      <c r="E605" s="194" t="s">
        <v>615</v>
      </c>
      <c r="F605" s="198"/>
      <c r="G605" s="193" t="s">
        <v>616</v>
      </c>
      <c r="H605" s="193"/>
      <c r="I605" s="211" t="s">
        <v>617</v>
      </c>
      <c r="J605" s="221" t="s">
        <v>618</v>
      </c>
      <c r="K605" s="221"/>
      <c r="L605" s="195"/>
      <c r="M605" s="204">
        <v>1</v>
      </c>
      <c r="N605" s="195"/>
      <c r="O605" s="205">
        <v>1.5</v>
      </c>
      <c r="P605" s="195" t="s">
        <v>41</v>
      </c>
      <c r="Q605" s="227">
        <f t="shared" ref="Q605:Q642" si="132">M605*O605</f>
        <v>1.5</v>
      </c>
      <c r="R605" s="226">
        <v>0</v>
      </c>
      <c r="S605" s="227">
        <f t="shared" ref="S605:S668" si="133">ROUND(Q605+R605,2)</f>
        <v>1.5</v>
      </c>
      <c r="T605" s="203" t="s">
        <v>48</v>
      </c>
      <c r="U605" s="183" t="str">
        <f t="shared" ref="U605:U667" si="134">CONCATENATE(S605," ",T605)</f>
        <v>1.5 Hrs</v>
      </c>
    </row>
    <row r="606" spans="3:21" s="172" customFormat="1" ht="20.25" customHeight="1">
      <c r="C606" s="185"/>
      <c r="D606" s="190">
        <f t="shared" si="130"/>
        <v>606</v>
      </c>
      <c r="E606" s="194" t="s">
        <v>619</v>
      </c>
      <c r="F606" s="198">
        <f t="shared" ref="F606:F642" si="135">D605</f>
        <v>605</v>
      </c>
      <c r="G606" s="193" t="s">
        <v>620</v>
      </c>
      <c r="H606" s="193"/>
      <c r="I606" s="195"/>
      <c r="J606" s="221" t="s">
        <v>621</v>
      </c>
      <c r="K606" s="221">
        <v>1</v>
      </c>
      <c r="L606" s="195" t="s">
        <v>81</v>
      </c>
      <c r="M606" s="204">
        <v>19</v>
      </c>
      <c r="N606" s="195" t="s">
        <v>81</v>
      </c>
      <c r="O606" s="205">
        <v>0.5</v>
      </c>
      <c r="P606" s="195" t="s">
        <v>112</v>
      </c>
      <c r="Q606" s="227">
        <f t="shared" si="132"/>
        <v>9.5</v>
      </c>
      <c r="R606" s="226">
        <v>1</v>
      </c>
      <c r="S606" s="227">
        <f t="shared" si="133"/>
        <v>10.5</v>
      </c>
      <c r="T606" s="203" t="s">
        <v>48</v>
      </c>
      <c r="U606" s="183" t="str">
        <f t="shared" si="134"/>
        <v>10.5 Hrs</v>
      </c>
    </row>
    <row r="607" spans="3:21" s="172" customFormat="1" ht="20.25" customHeight="1">
      <c r="C607" s="185">
        <f>D607</f>
        <v>607</v>
      </c>
      <c r="D607" s="190">
        <f t="shared" si="130"/>
        <v>607</v>
      </c>
      <c r="E607" s="196" t="s">
        <v>622</v>
      </c>
      <c r="F607" s="197" t="str">
        <f>CONCATENATE(D604,",",412)</f>
        <v>604,412</v>
      </c>
      <c r="G607" s="193"/>
      <c r="H607" s="193"/>
      <c r="I607" s="195"/>
      <c r="J607" s="195"/>
      <c r="K607" s="221"/>
      <c r="L607" s="195"/>
      <c r="M607" s="204"/>
      <c r="N607" s="195"/>
      <c r="O607" s="205"/>
      <c r="P607" s="195"/>
      <c r="Q607" s="227"/>
      <c r="R607" s="226"/>
      <c r="S607" s="227"/>
      <c r="T607" s="203"/>
      <c r="U607" s="183"/>
    </row>
    <row r="608" spans="3:21" s="172" customFormat="1" ht="20.25" customHeight="1">
      <c r="C608" s="185"/>
      <c r="D608" s="190">
        <f t="shared" si="130"/>
        <v>608</v>
      </c>
      <c r="E608" s="194" t="s">
        <v>622</v>
      </c>
      <c r="F608" s="198"/>
      <c r="G608" s="193" t="s">
        <v>623</v>
      </c>
      <c r="H608" s="193"/>
      <c r="I608" s="211" t="s">
        <v>266</v>
      </c>
      <c r="J608" s="221" t="s">
        <v>624</v>
      </c>
      <c r="K608" s="221">
        <v>654</v>
      </c>
      <c r="L608" s="195" t="s">
        <v>81</v>
      </c>
      <c r="M608" s="222">
        <f>K608</f>
        <v>654</v>
      </c>
      <c r="N608" s="195" t="s">
        <v>81</v>
      </c>
      <c r="O608" s="233">
        <f>1/60*5</f>
        <v>8.3333333333333329E-2</v>
      </c>
      <c r="P608" s="195" t="s">
        <v>87</v>
      </c>
      <c r="Q608" s="227">
        <f t="shared" si="132"/>
        <v>54.5</v>
      </c>
      <c r="R608" s="226">
        <v>1</v>
      </c>
      <c r="S608" s="227">
        <f t="shared" si="133"/>
        <v>55.5</v>
      </c>
      <c r="T608" s="203" t="s">
        <v>48</v>
      </c>
      <c r="U608" s="183" t="str">
        <f t="shared" si="134"/>
        <v>55.5 Hrs</v>
      </c>
    </row>
    <row r="609" spans="3:21" s="172" customFormat="1" ht="20.25" customHeight="1">
      <c r="C609" s="185"/>
      <c r="D609" s="190">
        <f t="shared" si="130"/>
        <v>609</v>
      </c>
      <c r="E609" s="194" t="s">
        <v>625</v>
      </c>
      <c r="F609" s="198">
        <f t="shared" si="135"/>
        <v>608</v>
      </c>
      <c r="G609" s="193" t="s">
        <v>626</v>
      </c>
      <c r="H609" s="193"/>
      <c r="I609" s="211" t="s">
        <v>266</v>
      </c>
      <c r="J609" s="221" t="s">
        <v>627</v>
      </c>
      <c r="K609" s="221">
        <v>14</v>
      </c>
      <c r="L609" s="195" t="s">
        <v>81</v>
      </c>
      <c r="M609" s="222">
        <f>K609</f>
        <v>14</v>
      </c>
      <c r="N609" s="195" t="s">
        <v>81</v>
      </c>
      <c r="O609" s="233">
        <v>0.5</v>
      </c>
      <c r="P609" s="195" t="s">
        <v>87</v>
      </c>
      <c r="Q609" s="227">
        <f t="shared" si="132"/>
        <v>7</v>
      </c>
      <c r="R609" s="226">
        <v>1</v>
      </c>
      <c r="S609" s="227">
        <f t="shared" si="133"/>
        <v>8</v>
      </c>
      <c r="T609" s="203" t="s">
        <v>48</v>
      </c>
      <c r="U609" s="183" t="str">
        <f t="shared" si="134"/>
        <v>8 Hrs</v>
      </c>
    </row>
    <row r="610" spans="3:21" s="172" customFormat="1" ht="20.25" customHeight="1">
      <c r="C610" s="185"/>
      <c r="D610" s="190">
        <f t="shared" si="130"/>
        <v>610</v>
      </c>
      <c r="E610" s="194" t="s">
        <v>622</v>
      </c>
      <c r="F610" s="198">
        <f t="shared" si="135"/>
        <v>609</v>
      </c>
      <c r="G610" s="193" t="s">
        <v>623</v>
      </c>
      <c r="H610" s="193"/>
      <c r="I610" s="211" t="s">
        <v>266</v>
      </c>
      <c r="J610" s="195" t="str">
        <f>J608</f>
        <v>7000 lg</v>
      </c>
      <c r="K610" s="221">
        <v>654</v>
      </c>
      <c r="L610" s="195" t="s">
        <v>81</v>
      </c>
      <c r="M610" s="222">
        <f>K610</f>
        <v>654</v>
      </c>
      <c r="N610" s="195" t="s">
        <v>81</v>
      </c>
      <c r="O610" s="233">
        <f>1/60*5</f>
        <v>8.3333333333333329E-2</v>
      </c>
      <c r="P610" s="195" t="s">
        <v>87</v>
      </c>
      <c r="Q610" s="227">
        <f t="shared" si="132"/>
        <v>54.5</v>
      </c>
      <c r="R610" s="226">
        <v>1</v>
      </c>
      <c r="S610" s="227">
        <f t="shared" si="133"/>
        <v>55.5</v>
      </c>
      <c r="T610" s="203" t="s">
        <v>48</v>
      </c>
      <c r="U610" s="183" t="str">
        <f t="shared" si="134"/>
        <v>55.5 Hrs</v>
      </c>
    </row>
    <row r="611" spans="3:21" s="172" customFormat="1" ht="20.25" customHeight="1">
      <c r="C611" s="185">
        <f>D611</f>
        <v>611</v>
      </c>
      <c r="D611" s="190">
        <f t="shared" si="130"/>
        <v>611</v>
      </c>
      <c r="E611" s="196" t="s">
        <v>628</v>
      </c>
      <c r="F611" s="197">
        <f>D607</f>
        <v>607</v>
      </c>
      <c r="G611" s="193"/>
      <c r="H611" s="193"/>
      <c r="I611" s="195"/>
      <c r="J611" s="195"/>
      <c r="K611" s="221"/>
      <c r="L611" s="195"/>
      <c r="M611" s="204"/>
      <c r="N611" s="195"/>
      <c r="O611" s="205"/>
      <c r="P611" s="195"/>
      <c r="Q611" s="227"/>
      <c r="R611" s="226"/>
      <c r="S611" s="227"/>
      <c r="T611" s="203"/>
      <c r="U611" s="183"/>
    </row>
    <row r="612" spans="3:21" s="172" customFormat="1" ht="20.25" customHeight="1">
      <c r="C612" s="185"/>
      <c r="D612" s="190">
        <f t="shared" si="130"/>
        <v>612</v>
      </c>
      <c r="E612" s="194" t="s">
        <v>629</v>
      </c>
      <c r="F612" s="198"/>
      <c r="G612" s="193" t="s">
        <v>44</v>
      </c>
      <c r="H612" s="193"/>
      <c r="I612" s="211">
        <v>8</v>
      </c>
      <c r="J612" s="221" t="s">
        <v>630</v>
      </c>
      <c r="K612" s="221">
        <v>2</v>
      </c>
      <c r="L612" s="195" t="s">
        <v>81</v>
      </c>
      <c r="M612" s="204">
        <v>2</v>
      </c>
      <c r="N612" s="195" t="s">
        <v>81</v>
      </c>
      <c r="O612" s="233">
        <v>3</v>
      </c>
      <c r="P612" s="195" t="s">
        <v>87</v>
      </c>
      <c r="Q612" s="227">
        <f t="shared" si="132"/>
        <v>6</v>
      </c>
      <c r="R612" s="226">
        <v>1</v>
      </c>
      <c r="S612" s="227">
        <f t="shared" si="133"/>
        <v>7</v>
      </c>
      <c r="T612" s="203" t="s">
        <v>48</v>
      </c>
      <c r="U612" s="183" t="str">
        <f t="shared" si="134"/>
        <v>7 Hrs</v>
      </c>
    </row>
    <row r="613" spans="3:21" s="172" customFormat="1" ht="20.25" customHeight="1">
      <c r="C613" s="185"/>
      <c r="D613" s="190">
        <f t="shared" si="130"/>
        <v>613</v>
      </c>
      <c r="E613" s="194" t="s">
        <v>631</v>
      </c>
      <c r="F613" s="198">
        <f t="shared" si="135"/>
        <v>612</v>
      </c>
      <c r="G613" s="193" t="s">
        <v>115</v>
      </c>
      <c r="H613" s="193"/>
      <c r="I613" s="211">
        <v>8</v>
      </c>
      <c r="J613" s="221" t="s">
        <v>632</v>
      </c>
      <c r="K613" s="221">
        <v>1</v>
      </c>
      <c r="L613" s="195" t="s">
        <v>84</v>
      </c>
      <c r="M613" s="214" t="str">
        <f>LEFT(J613,SEARCH(" ",J613,1)-1)</f>
        <v>60</v>
      </c>
      <c r="N613" s="195" t="s">
        <v>633</v>
      </c>
      <c r="O613" s="233">
        <v>0.25</v>
      </c>
      <c r="P613" s="195" t="s">
        <v>87</v>
      </c>
      <c r="Q613" s="227">
        <f t="shared" si="132"/>
        <v>15</v>
      </c>
      <c r="R613" s="226">
        <v>1</v>
      </c>
      <c r="S613" s="227">
        <f t="shared" si="133"/>
        <v>16</v>
      </c>
      <c r="T613" s="203" t="s">
        <v>48</v>
      </c>
      <c r="U613" s="183" t="str">
        <f t="shared" si="134"/>
        <v>16 Hrs</v>
      </c>
    </row>
    <row r="614" spans="3:21" s="172" customFormat="1" ht="20.25" customHeight="1">
      <c r="C614" s="185"/>
      <c r="D614" s="190">
        <f t="shared" si="130"/>
        <v>614</v>
      </c>
      <c r="E614" s="194" t="s">
        <v>634</v>
      </c>
      <c r="F614" s="198">
        <f t="shared" si="135"/>
        <v>613</v>
      </c>
      <c r="G614" s="193" t="s">
        <v>61</v>
      </c>
      <c r="H614" s="193"/>
      <c r="I614" s="211">
        <v>1500</v>
      </c>
      <c r="J614" s="195" t="str">
        <f>J613</f>
        <v>60 joints</v>
      </c>
      <c r="K614" s="221">
        <v>1</v>
      </c>
      <c r="L614" s="195" t="s">
        <v>84</v>
      </c>
      <c r="M614" s="214" t="str">
        <f>LEFT(J614,SEARCH(" ",J614,1)-1)</f>
        <v>60</v>
      </c>
      <c r="N614" s="195" t="s">
        <v>633</v>
      </c>
      <c r="O614" s="233">
        <f>VLOOKUP(I614,BM!$B$3:$Y$62,9,FALSE)</f>
        <v>0.25</v>
      </c>
      <c r="P614" s="195" t="s">
        <v>87</v>
      </c>
      <c r="Q614" s="227">
        <f t="shared" si="132"/>
        <v>15</v>
      </c>
      <c r="R614" s="226">
        <v>1</v>
      </c>
      <c r="S614" s="227">
        <f t="shared" si="133"/>
        <v>16</v>
      </c>
      <c r="T614" s="203" t="s">
        <v>48</v>
      </c>
      <c r="U614" s="183" t="str">
        <f t="shared" si="134"/>
        <v>16 Hrs</v>
      </c>
    </row>
    <row r="615" spans="3:21" s="172" customFormat="1" ht="20.25" customHeight="1">
      <c r="C615" s="185">
        <f>D615</f>
        <v>615</v>
      </c>
      <c r="D615" s="190">
        <f t="shared" si="130"/>
        <v>615</v>
      </c>
      <c r="E615" s="196" t="s">
        <v>635</v>
      </c>
      <c r="F615" s="197">
        <f>D611</f>
        <v>611</v>
      </c>
      <c r="G615" s="193"/>
      <c r="H615" s="193"/>
      <c r="I615" s="195"/>
      <c r="J615" s="195"/>
      <c r="K615" s="221"/>
      <c r="L615" s="195"/>
      <c r="M615" s="204"/>
      <c r="N615" s="195"/>
      <c r="O615" s="205"/>
      <c r="P615" s="195"/>
      <c r="Q615" s="227"/>
      <c r="R615" s="226"/>
      <c r="S615" s="227"/>
      <c r="T615" s="203"/>
      <c r="U615" s="183"/>
    </row>
    <row r="616" spans="3:21" s="172" customFormat="1" ht="20.25" customHeight="1">
      <c r="C616" s="185"/>
      <c r="D616" s="190">
        <f t="shared" si="130"/>
        <v>616</v>
      </c>
      <c r="E616" s="194" t="s">
        <v>636</v>
      </c>
      <c r="F616" s="198"/>
      <c r="G616" s="193" t="s">
        <v>637</v>
      </c>
      <c r="H616" s="193"/>
      <c r="I616" s="195"/>
      <c r="J616" s="221" t="s">
        <v>638</v>
      </c>
      <c r="K616" s="221">
        <v>1</v>
      </c>
      <c r="L616" s="195" t="s">
        <v>81</v>
      </c>
      <c r="M616" s="204">
        <v>1</v>
      </c>
      <c r="N616" s="195" t="s">
        <v>81</v>
      </c>
      <c r="O616" s="205">
        <v>16</v>
      </c>
      <c r="P616" s="195" t="s">
        <v>87</v>
      </c>
      <c r="Q616" s="227">
        <f t="shared" si="132"/>
        <v>16</v>
      </c>
      <c r="R616" s="226">
        <v>1</v>
      </c>
      <c r="S616" s="227">
        <f t="shared" si="133"/>
        <v>17</v>
      </c>
      <c r="T616" s="203" t="s">
        <v>48</v>
      </c>
      <c r="U616" s="183" t="str">
        <f t="shared" si="134"/>
        <v>17 Hrs</v>
      </c>
    </row>
    <row r="617" spans="3:21" s="172" customFormat="1" ht="20.25" customHeight="1">
      <c r="C617" s="185"/>
      <c r="D617" s="190">
        <f t="shared" si="130"/>
        <v>617</v>
      </c>
      <c r="E617" s="194" t="s">
        <v>639</v>
      </c>
      <c r="F617" s="198" t="str">
        <f>CONCATENATE(D616,",",D56)</f>
        <v>616,56</v>
      </c>
      <c r="G617" s="193" t="s">
        <v>640</v>
      </c>
      <c r="H617" s="193"/>
      <c r="I617" s="211" t="s">
        <v>641</v>
      </c>
      <c r="J617" s="195"/>
      <c r="K617" s="221">
        <v>1</v>
      </c>
      <c r="L617" s="195" t="s">
        <v>81</v>
      </c>
      <c r="M617" s="204">
        <v>1</v>
      </c>
      <c r="N617" s="195" t="s">
        <v>81</v>
      </c>
      <c r="O617" s="205">
        <v>4</v>
      </c>
      <c r="P617" s="195" t="s">
        <v>87</v>
      </c>
      <c r="Q617" s="227">
        <f t="shared" si="132"/>
        <v>4</v>
      </c>
      <c r="R617" s="226">
        <v>1</v>
      </c>
      <c r="S617" s="227">
        <f t="shared" si="133"/>
        <v>5</v>
      </c>
      <c r="T617" s="203" t="s">
        <v>48</v>
      </c>
      <c r="U617" s="183" t="str">
        <f t="shared" si="134"/>
        <v>5 Hrs</v>
      </c>
    </row>
    <row r="618" spans="3:21" s="172" customFormat="1" ht="20.25" customHeight="1">
      <c r="C618" s="185"/>
      <c r="D618" s="190">
        <f t="shared" si="130"/>
        <v>618</v>
      </c>
      <c r="E618" s="194" t="s">
        <v>642</v>
      </c>
      <c r="F618" s="198">
        <f t="shared" si="135"/>
        <v>617</v>
      </c>
      <c r="G618" s="193" t="s">
        <v>643</v>
      </c>
      <c r="H618" s="193"/>
      <c r="I618" s="211" t="s">
        <v>644</v>
      </c>
      <c r="J618" s="221">
        <v>1490</v>
      </c>
      <c r="K618" s="221">
        <v>1</v>
      </c>
      <c r="L618" s="195" t="s">
        <v>81</v>
      </c>
      <c r="M618" s="204">
        <v>56</v>
      </c>
      <c r="N618" s="195" t="s">
        <v>645</v>
      </c>
      <c r="O618" s="233">
        <f>1/60*10</f>
        <v>0.16666666666666666</v>
      </c>
      <c r="P618" s="195" t="s">
        <v>112</v>
      </c>
      <c r="Q618" s="227">
        <f t="shared" si="132"/>
        <v>9.3333333333333321</v>
      </c>
      <c r="R618" s="226">
        <v>1</v>
      </c>
      <c r="S618" s="227">
        <f t="shared" si="133"/>
        <v>10.33</v>
      </c>
      <c r="T618" s="203" t="s">
        <v>48</v>
      </c>
      <c r="U618" s="183" t="str">
        <f t="shared" si="134"/>
        <v>10.33 Hrs</v>
      </c>
    </row>
    <row r="619" spans="3:21" s="172" customFormat="1" ht="20.25" customHeight="1">
      <c r="C619" s="185">
        <f>D619</f>
        <v>619</v>
      </c>
      <c r="D619" s="190">
        <f t="shared" si="130"/>
        <v>619</v>
      </c>
      <c r="E619" s="196" t="s">
        <v>646</v>
      </c>
      <c r="F619" s="197">
        <f>D615</f>
        <v>615</v>
      </c>
      <c r="G619" s="193"/>
      <c r="H619" s="193"/>
      <c r="I619" s="195"/>
      <c r="J619" s="195"/>
      <c r="K619" s="221"/>
      <c r="L619" s="195"/>
      <c r="M619" s="204"/>
      <c r="N619" s="195"/>
      <c r="O619" s="205"/>
      <c r="P619" s="195"/>
      <c r="Q619" s="227"/>
      <c r="R619" s="226"/>
      <c r="S619" s="227"/>
      <c r="T619" s="203"/>
      <c r="U619" s="183"/>
    </row>
    <row r="620" spans="3:21" s="172" customFormat="1" ht="20.25" customHeight="1">
      <c r="C620" s="185"/>
      <c r="D620" s="190">
        <f t="shared" si="130"/>
        <v>620</v>
      </c>
      <c r="E620" s="194" t="s">
        <v>647</v>
      </c>
      <c r="F620" s="198"/>
      <c r="G620" s="193" t="s">
        <v>201</v>
      </c>
      <c r="H620" s="193"/>
      <c r="I620" s="211" t="s">
        <v>648</v>
      </c>
      <c r="J620" s="221" t="s">
        <v>649</v>
      </c>
      <c r="K620" s="221">
        <v>1308</v>
      </c>
      <c r="L620" s="195" t="s">
        <v>81</v>
      </c>
      <c r="M620" s="214" t="str">
        <f>LEFT(J620,SEARCH(" ",J620,1)-1)</f>
        <v>1308</v>
      </c>
      <c r="N620" s="195" t="s">
        <v>650</v>
      </c>
      <c r="O620" s="233">
        <f>1/60*1</f>
        <v>1.6666666666666666E-2</v>
      </c>
      <c r="P620" s="195" t="s">
        <v>112</v>
      </c>
      <c r="Q620" s="227">
        <f t="shared" si="132"/>
        <v>21.8</v>
      </c>
      <c r="R620" s="226">
        <v>1</v>
      </c>
      <c r="S620" s="227">
        <f t="shared" si="133"/>
        <v>22.8</v>
      </c>
      <c r="T620" s="203" t="s">
        <v>48</v>
      </c>
      <c r="U620" s="183" t="str">
        <f t="shared" si="134"/>
        <v>22.8 Hrs</v>
      </c>
    </row>
    <row r="621" spans="3:21" s="172" customFormat="1" ht="20.25" customHeight="1">
      <c r="C621" s="185"/>
      <c r="D621" s="190">
        <f t="shared" si="130"/>
        <v>621</v>
      </c>
      <c r="E621" s="194" t="s">
        <v>651</v>
      </c>
      <c r="F621" s="198">
        <f t="shared" si="135"/>
        <v>620</v>
      </c>
      <c r="G621" s="193" t="s">
        <v>201</v>
      </c>
      <c r="H621" s="193"/>
      <c r="I621" s="211" t="s">
        <v>652</v>
      </c>
      <c r="J621" s="221" t="s">
        <v>649</v>
      </c>
      <c r="K621" s="221">
        <v>1308</v>
      </c>
      <c r="L621" s="195" t="s">
        <v>81</v>
      </c>
      <c r="M621" s="214" t="str">
        <f>LEFT(J621,SEARCH(" ",J621,1)-1)</f>
        <v>1308</v>
      </c>
      <c r="N621" s="195" t="s">
        <v>650</v>
      </c>
      <c r="O621" s="233">
        <f>1/60*0.5</f>
        <v>8.3333333333333332E-3</v>
      </c>
      <c r="P621" s="195" t="s">
        <v>112</v>
      </c>
      <c r="Q621" s="227">
        <f t="shared" si="132"/>
        <v>10.9</v>
      </c>
      <c r="R621" s="226">
        <v>1</v>
      </c>
      <c r="S621" s="227">
        <f t="shared" si="133"/>
        <v>11.9</v>
      </c>
      <c r="T621" s="203" t="s">
        <v>48</v>
      </c>
      <c r="U621" s="183" t="str">
        <f t="shared" si="134"/>
        <v>11.9 Hrs</v>
      </c>
    </row>
    <row r="622" spans="3:21" s="172" customFormat="1" ht="20.25" customHeight="1">
      <c r="C622" s="185"/>
      <c r="D622" s="190">
        <f t="shared" si="130"/>
        <v>622</v>
      </c>
      <c r="E622" s="194" t="s">
        <v>653</v>
      </c>
      <c r="F622" s="198">
        <f t="shared" si="135"/>
        <v>621</v>
      </c>
      <c r="G622" s="193" t="s">
        <v>44</v>
      </c>
      <c r="H622" s="193"/>
      <c r="I622" s="211" t="s">
        <v>652</v>
      </c>
      <c r="J622" s="221" t="s">
        <v>649</v>
      </c>
      <c r="K622" s="221">
        <v>1308</v>
      </c>
      <c r="L622" s="195" t="s">
        <v>81</v>
      </c>
      <c r="M622" s="214" t="str">
        <f>LEFT(J622,SEARCH(" ",J622,1)-1)</f>
        <v>1308</v>
      </c>
      <c r="N622" s="195" t="s">
        <v>654</v>
      </c>
      <c r="O622" s="233">
        <f>1/60*2</f>
        <v>3.3333333333333333E-2</v>
      </c>
      <c r="P622" s="195" t="s">
        <v>112</v>
      </c>
      <c r="Q622" s="227">
        <f t="shared" si="132"/>
        <v>43.6</v>
      </c>
      <c r="R622" s="226">
        <v>1</v>
      </c>
      <c r="S622" s="227">
        <f t="shared" si="133"/>
        <v>44.6</v>
      </c>
      <c r="T622" s="203" t="s">
        <v>48</v>
      </c>
      <c r="U622" s="183" t="str">
        <f t="shared" si="134"/>
        <v>44.6 Hrs</v>
      </c>
    </row>
    <row r="623" spans="3:21" s="172" customFormat="1" ht="20.25" customHeight="1">
      <c r="C623" s="185"/>
      <c r="D623" s="190">
        <f t="shared" si="130"/>
        <v>623</v>
      </c>
      <c r="E623" s="194" t="s">
        <v>655</v>
      </c>
      <c r="F623" s="198">
        <f t="shared" si="135"/>
        <v>622</v>
      </c>
      <c r="G623" s="193" t="s">
        <v>656</v>
      </c>
      <c r="H623" s="193"/>
      <c r="I623" s="211" t="s">
        <v>657</v>
      </c>
      <c r="J623" s="221" t="s">
        <v>658</v>
      </c>
      <c r="K623" s="212">
        <v>2616</v>
      </c>
      <c r="L623" s="195" t="s">
        <v>81</v>
      </c>
      <c r="M623" s="214" t="str">
        <f>LEFT(J623,SEARCH(" ",J623,1)-1)</f>
        <v>2616</v>
      </c>
      <c r="N623" s="195" t="s">
        <v>650</v>
      </c>
      <c r="O623" s="233">
        <f>1/60*0.5</f>
        <v>8.3333333333333332E-3</v>
      </c>
      <c r="P623" s="195" t="s">
        <v>112</v>
      </c>
      <c r="Q623" s="227">
        <f t="shared" si="132"/>
        <v>21.8</v>
      </c>
      <c r="R623" s="226">
        <v>1</v>
      </c>
      <c r="S623" s="227">
        <f t="shared" si="133"/>
        <v>22.8</v>
      </c>
      <c r="T623" s="203" t="s">
        <v>48</v>
      </c>
      <c r="U623" s="183" t="str">
        <f t="shared" si="134"/>
        <v>22.8 Hrs</v>
      </c>
    </row>
    <row r="624" spans="3:21" s="172" customFormat="1" ht="20.25" customHeight="1">
      <c r="C624" s="185">
        <f>D624</f>
        <v>624</v>
      </c>
      <c r="D624" s="190">
        <f t="shared" si="130"/>
        <v>624</v>
      </c>
      <c r="E624" s="196" t="s">
        <v>659</v>
      </c>
      <c r="F624" s="197">
        <f>D619</f>
        <v>619</v>
      </c>
      <c r="G624" s="193"/>
      <c r="H624" s="193"/>
      <c r="I624" s="195"/>
      <c r="J624" s="195"/>
      <c r="K624" s="221"/>
      <c r="L624" s="195"/>
      <c r="M624" s="204"/>
      <c r="N624" s="195"/>
      <c r="O624" s="205"/>
      <c r="P624" s="195"/>
      <c r="Q624" s="227"/>
      <c r="R624" s="226"/>
      <c r="S624" s="227"/>
      <c r="T624" s="203"/>
      <c r="U624" s="183"/>
    </row>
    <row r="625" spans="3:21" s="172" customFormat="1" ht="20.25" customHeight="1">
      <c r="C625" s="185"/>
      <c r="D625" s="190">
        <f t="shared" si="130"/>
        <v>625</v>
      </c>
      <c r="E625" s="194" t="s">
        <v>660</v>
      </c>
      <c r="F625" s="198"/>
      <c r="G625" s="193" t="s">
        <v>656</v>
      </c>
      <c r="H625" s="193"/>
      <c r="I625" s="195"/>
      <c r="J625" s="195"/>
      <c r="K625" s="221">
        <v>1</v>
      </c>
      <c r="L625" s="195" t="s">
        <v>39</v>
      </c>
      <c r="M625" s="204">
        <v>1</v>
      </c>
      <c r="N625" s="195" t="s">
        <v>661</v>
      </c>
      <c r="O625" s="205">
        <v>4</v>
      </c>
      <c r="P625" s="195" t="s">
        <v>112</v>
      </c>
      <c r="Q625" s="227">
        <f t="shared" si="132"/>
        <v>4</v>
      </c>
      <c r="R625" s="226">
        <v>1</v>
      </c>
      <c r="S625" s="227">
        <f t="shared" si="133"/>
        <v>5</v>
      </c>
      <c r="T625" s="203" t="s">
        <v>48</v>
      </c>
      <c r="U625" s="183" t="str">
        <f t="shared" si="134"/>
        <v>5 Hrs</v>
      </c>
    </row>
    <row r="626" spans="3:21" s="172" customFormat="1" ht="20.25" customHeight="1">
      <c r="C626" s="185"/>
      <c r="D626" s="190">
        <f t="shared" si="130"/>
        <v>626</v>
      </c>
      <c r="E626" s="194" t="s">
        <v>662</v>
      </c>
      <c r="F626" s="198">
        <f t="shared" si="135"/>
        <v>625</v>
      </c>
      <c r="G626" s="193" t="s">
        <v>44</v>
      </c>
      <c r="H626" s="193"/>
      <c r="I626" s="195"/>
      <c r="J626" s="195"/>
      <c r="K626" s="221">
        <v>1</v>
      </c>
      <c r="L626" s="195" t="s">
        <v>39</v>
      </c>
      <c r="M626" s="204">
        <v>1</v>
      </c>
      <c r="N626" s="195" t="s">
        <v>661</v>
      </c>
      <c r="O626" s="205">
        <v>1</v>
      </c>
      <c r="P626" s="195" t="s">
        <v>41</v>
      </c>
      <c r="Q626" s="227">
        <f t="shared" si="132"/>
        <v>1</v>
      </c>
      <c r="R626" s="226"/>
      <c r="S626" s="227">
        <f t="shared" si="133"/>
        <v>1</v>
      </c>
      <c r="T626" s="203" t="s">
        <v>48</v>
      </c>
      <c r="U626" s="183" t="str">
        <f t="shared" si="134"/>
        <v>1 Hrs</v>
      </c>
    </row>
    <row r="627" spans="3:21" s="172" customFormat="1" ht="20.25" customHeight="1">
      <c r="C627" s="185"/>
      <c r="D627" s="190">
        <f t="shared" si="130"/>
        <v>627</v>
      </c>
      <c r="E627" s="194" t="s">
        <v>663</v>
      </c>
      <c r="F627" s="198">
        <f t="shared" si="135"/>
        <v>626</v>
      </c>
      <c r="G627" s="193" t="s">
        <v>224</v>
      </c>
      <c r="H627" s="193"/>
      <c r="I627" s="195"/>
      <c r="J627" s="195"/>
      <c r="K627" s="221">
        <v>1</v>
      </c>
      <c r="L627" s="195" t="s">
        <v>39</v>
      </c>
      <c r="M627" s="204">
        <v>1</v>
      </c>
      <c r="N627" s="195" t="s">
        <v>39</v>
      </c>
      <c r="O627" s="205">
        <v>1</v>
      </c>
      <c r="P627" s="195" t="s">
        <v>162</v>
      </c>
      <c r="Q627" s="227">
        <f t="shared" si="132"/>
        <v>1</v>
      </c>
      <c r="R627" s="226"/>
      <c r="S627" s="227">
        <f t="shared" si="133"/>
        <v>1</v>
      </c>
      <c r="T627" s="203" t="s">
        <v>48</v>
      </c>
      <c r="U627" s="183" t="str">
        <f t="shared" si="134"/>
        <v>1 Hrs</v>
      </c>
    </row>
    <row r="628" spans="3:21" s="172" customFormat="1" ht="20.25" customHeight="1">
      <c r="C628" s="185">
        <f>D628</f>
        <v>628</v>
      </c>
      <c r="D628" s="190">
        <f t="shared" si="130"/>
        <v>628</v>
      </c>
      <c r="E628" s="196" t="s">
        <v>664</v>
      </c>
      <c r="F628" s="197">
        <f>D624</f>
        <v>624</v>
      </c>
      <c r="G628" s="193"/>
      <c r="H628" s="193"/>
      <c r="I628" s="195"/>
      <c r="J628" s="195"/>
      <c r="K628" s="221"/>
      <c r="L628" s="195"/>
      <c r="M628" s="204"/>
      <c r="N628" s="195"/>
      <c r="O628" s="205"/>
      <c r="P628" s="195"/>
      <c r="Q628" s="227"/>
      <c r="R628" s="226"/>
      <c r="S628" s="227"/>
      <c r="T628" s="203"/>
      <c r="U628" s="183"/>
    </row>
    <row r="629" spans="3:21" s="172" customFormat="1" ht="20.25" customHeight="1">
      <c r="C629" s="185"/>
      <c r="D629" s="190">
        <f t="shared" si="130"/>
        <v>629</v>
      </c>
      <c r="E629" s="194" t="s">
        <v>665</v>
      </c>
      <c r="F629" s="198"/>
      <c r="G629" s="193" t="s">
        <v>666</v>
      </c>
      <c r="H629" s="193"/>
      <c r="I629" s="211">
        <v>2.77</v>
      </c>
      <c r="J629" s="221" t="s">
        <v>667</v>
      </c>
      <c r="K629" s="221">
        <v>1308</v>
      </c>
      <c r="L629" s="195" t="s">
        <v>81</v>
      </c>
      <c r="M629" s="222">
        <f>K629</f>
        <v>1308</v>
      </c>
      <c r="N629" s="195" t="s">
        <v>668</v>
      </c>
      <c r="O629" s="233">
        <f>1/60*5</f>
        <v>8.3333333333333329E-2</v>
      </c>
      <c r="P629" s="195" t="s">
        <v>112</v>
      </c>
      <c r="Q629" s="227">
        <f t="shared" si="132"/>
        <v>109</v>
      </c>
      <c r="R629" s="226">
        <v>1</v>
      </c>
      <c r="S629" s="227">
        <f t="shared" si="133"/>
        <v>110</v>
      </c>
      <c r="T629" s="203" t="s">
        <v>48</v>
      </c>
      <c r="U629" s="183" t="str">
        <f t="shared" si="134"/>
        <v>110 Hrs</v>
      </c>
    </row>
    <row r="630" spans="3:21" s="172" customFormat="1" ht="20.25" customHeight="1">
      <c r="C630" s="185"/>
      <c r="D630" s="190">
        <f t="shared" si="130"/>
        <v>630</v>
      </c>
      <c r="E630" s="194" t="s">
        <v>669</v>
      </c>
      <c r="F630" s="198">
        <f t="shared" si="135"/>
        <v>629</v>
      </c>
      <c r="G630" s="193" t="s">
        <v>44</v>
      </c>
      <c r="H630" s="193"/>
      <c r="I630" s="211">
        <v>2.77</v>
      </c>
      <c r="J630" s="195"/>
      <c r="K630" s="221">
        <v>1308</v>
      </c>
      <c r="L630" s="195" t="s">
        <v>81</v>
      </c>
      <c r="M630" s="204">
        <v>1</v>
      </c>
      <c r="N630" s="195" t="s">
        <v>39</v>
      </c>
      <c r="O630" s="205">
        <v>8</v>
      </c>
      <c r="P630" s="195" t="s">
        <v>112</v>
      </c>
      <c r="Q630" s="227">
        <f t="shared" si="132"/>
        <v>8</v>
      </c>
      <c r="R630" s="226">
        <v>1</v>
      </c>
      <c r="S630" s="227">
        <f t="shared" si="133"/>
        <v>9</v>
      </c>
      <c r="T630" s="203" t="s">
        <v>48</v>
      </c>
      <c r="U630" s="183" t="str">
        <f t="shared" si="134"/>
        <v>9 Hrs</v>
      </c>
    </row>
    <row r="631" spans="3:21" s="172" customFormat="1" ht="20.25" customHeight="1">
      <c r="C631" s="185"/>
      <c r="D631" s="190">
        <f t="shared" si="130"/>
        <v>631</v>
      </c>
      <c r="E631" s="194" t="s">
        <v>670</v>
      </c>
      <c r="F631" s="198">
        <f t="shared" si="135"/>
        <v>630</v>
      </c>
      <c r="G631" s="193" t="s">
        <v>666</v>
      </c>
      <c r="H631" s="193"/>
      <c r="I631" s="211">
        <v>2.77</v>
      </c>
      <c r="J631" s="195"/>
      <c r="K631" s="221">
        <v>1308</v>
      </c>
      <c r="L631" s="195" t="s">
        <v>81</v>
      </c>
      <c r="M631" s="222">
        <f>K631</f>
        <v>1308</v>
      </c>
      <c r="N631" s="195" t="s">
        <v>668</v>
      </c>
      <c r="O631" s="233">
        <f>1/60*5</f>
        <v>8.3333333333333329E-2</v>
      </c>
      <c r="P631" s="195" t="s">
        <v>112</v>
      </c>
      <c r="Q631" s="227">
        <f t="shared" si="132"/>
        <v>109</v>
      </c>
      <c r="R631" s="226">
        <v>1</v>
      </c>
      <c r="S631" s="227">
        <f t="shared" si="133"/>
        <v>110</v>
      </c>
      <c r="T631" s="203" t="s">
        <v>48</v>
      </c>
      <c r="U631" s="183" t="str">
        <f t="shared" si="134"/>
        <v>110 Hrs</v>
      </c>
    </row>
    <row r="632" spans="3:21" s="172" customFormat="1" ht="20.25" customHeight="1">
      <c r="C632" s="185"/>
      <c r="D632" s="190">
        <f t="shared" si="130"/>
        <v>632</v>
      </c>
      <c r="E632" s="194" t="s">
        <v>671</v>
      </c>
      <c r="F632" s="198">
        <f t="shared" si="135"/>
        <v>631</v>
      </c>
      <c r="G632" s="193" t="s">
        <v>44</v>
      </c>
      <c r="H632" s="193"/>
      <c r="I632" s="211">
        <v>2.77</v>
      </c>
      <c r="J632" s="195"/>
      <c r="K632" s="221">
        <v>1308</v>
      </c>
      <c r="L632" s="195" t="s">
        <v>81</v>
      </c>
      <c r="M632" s="204">
        <v>1</v>
      </c>
      <c r="N632" s="195" t="s">
        <v>39</v>
      </c>
      <c r="O632" s="205">
        <v>8</v>
      </c>
      <c r="P632" s="195" t="s">
        <v>112</v>
      </c>
      <c r="Q632" s="227">
        <f t="shared" si="132"/>
        <v>8</v>
      </c>
      <c r="R632" s="226">
        <v>1</v>
      </c>
      <c r="S632" s="227">
        <f t="shared" si="133"/>
        <v>9</v>
      </c>
      <c r="T632" s="203" t="s">
        <v>48</v>
      </c>
      <c r="U632" s="183" t="str">
        <f t="shared" si="134"/>
        <v>9 Hrs</v>
      </c>
    </row>
    <row r="633" spans="3:21" s="172" customFormat="1" ht="20.25" customHeight="1">
      <c r="C633" s="185">
        <f>D633</f>
        <v>633</v>
      </c>
      <c r="D633" s="190">
        <f t="shared" si="130"/>
        <v>633</v>
      </c>
      <c r="E633" s="196" t="s">
        <v>672</v>
      </c>
      <c r="F633" s="197">
        <f>D628</f>
        <v>628</v>
      </c>
      <c r="G633" s="193"/>
      <c r="H633" s="193"/>
      <c r="I633" s="195"/>
      <c r="J633" s="195"/>
      <c r="K633" s="221"/>
      <c r="L633" s="195"/>
      <c r="M633" s="204"/>
      <c r="N633" s="195"/>
      <c r="O633" s="205"/>
      <c r="P633" s="195"/>
      <c r="Q633" s="227"/>
      <c r="R633" s="226"/>
      <c r="S633" s="227"/>
      <c r="T633" s="203"/>
      <c r="U633" s="183"/>
    </row>
    <row r="634" spans="3:21" s="172" customFormat="1" ht="20.25" customHeight="1">
      <c r="C634" s="185"/>
      <c r="D634" s="190">
        <f t="shared" si="130"/>
        <v>634</v>
      </c>
      <c r="E634" s="194" t="s">
        <v>673</v>
      </c>
      <c r="F634" s="198"/>
      <c r="G634" s="193" t="s">
        <v>666</v>
      </c>
      <c r="H634" s="193"/>
      <c r="I634" s="211">
        <v>2.77</v>
      </c>
      <c r="J634" s="195"/>
      <c r="K634" s="221">
        <v>1308</v>
      </c>
      <c r="L634" s="195" t="s">
        <v>81</v>
      </c>
      <c r="M634" s="222">
        <f>K634</f>
        <v>1308</v>
      </c>
      <c r="N634" s="195" t="s">
        <v>668</v>
      </c>
      <c r="O634" s="233">
        <f>1/60*5</f>
        <v>8.3333333333333329E-2</v>
      </c>
      <c r="P634" s="195" t="s">
        <v>112</v>
      </c>
      <c r="Q634" s="227">
        <f t="shared" si="132"/>
        <v>109</v>
      </c>
      <c r="R634" s="226">
        <v>1</v>
      </c>
      <c r="S634" s="227">
        <f t="shared" si="133"/>
        <v>110</v>
      </c>
      <c r="T634" s="203" t="s">
        <v>48</v>
      </c>
      <c r="U634" s="183" t="str">
        <f t="shared" si="134"/>
        <v>110 Hrs</v>
      </c>
    </row>
    <row r="635" spans="3:21" s="172" customFormat="1" ht="20.25" customHeight="1">
      <c r="C635" s="185"/>
      <c r="D635" s="190">
        <f t="shared" si="130"/>
        <v>635</v>
      </c>
      <c r="E635" s="194" t="s">
        <v>674</v>
      </c>
      <c r="F635" s="198">
        <f t="shared" si="135"/>
        <v>634</v>
      </c>
      <c r="G635" s="193" t="s">
        <v>44</v>
      </c>
      <c r="H635" s="193"/>
      <c r="I635" s="211">
        <v>2.77</v>
      </c>
      <c r="J635" s="195"/>
      <c r="K635" s="221">
        <v>1308</v>
      </c>
      <c r="L635" s="195" t="s">
        <v>81</v>
      </c>
      <c r="M635" s="204">
        <v>1</v>
      </c>
      <c r="N635" s="195" t="s">
        <v>39</v>
      </c>
      <c r="O635" s="205">
        <v>8</v>
      </c>
      <c r="P635" s="195" t="s">
        <v>112</v>
      </c>
      <c r="Q635" s="227">
        <f t="shared" si="132"/>
        <v>8</v>
      </c>
      <c r="R635" s="226">
        <v>1</v>
      </c>
      <c r="S635" s="227">
        <f t="shared" si="133"/>
        <v>9</v>
      </c>
      <c r="T635" s="203" t="s">
        <v>48</v>
      </c>
      <c r="U635" s="183" t="str">
        <f t="shared" si="134"/>
        <v>9 Hrs</v>
      </c>
    </row>
    <row r="636" spans="3:21" s="172" customFormat="1" ht="20.25" customHeight="1">
      <c r="C636" s="185"/>
      <c r="D636" s="190">
        <f t="shared" si="130"/>
        <v>636</v>
      </c>
      <c r="E636" s="194" t="s">
        <v>675</v>
      </c>
      <c r="F636" s="198">
        <f t="shared" si="135"/>
        <v>635</v>
      </c>
      <c r="G636" s="193" t="s">
        <v>666</v>
      </c>
      <c r="H636" s="193"/>
      <c r="I636" s="211">
        <v>2.77</v>
      </c>
      <c r="J636" s="195"/>
      <c r="K636" s="221">
        <v>1308</v>
      </c>
      <c r="L636" s="195" t="s">
        <v>81</v>
      </c>
      <c r="M636" s="222">
        <f>K636</f>
        <v>1308</v>
      </c>
      <c r="N636" s="195" t="s">
        <v>668</v>
      </c>
      <c r="O636" s="233">
        <f>1/60*5</f>
        <v>8.3333333333333329E-2</v>
      </c>
      <c r="P636" s="195" t="s">
        <v>112</v>
      </c>
      <c r="Q636" s="227">
        <f t="shared" si="132"/>
        <v>109</v>
      </c>
      <c r="R636" s="226">
        <v>1</v>
      </c>
      <c r="S636" s="227">
        <f t="shared" si="133"/>
        <v>110</v>
      </c>
      <c r="T636" s="203" t="s">
        <v>48</v>
      </c>
      <c r="U636" s="183" t="str">
        <f t="shared" si="134"/>
        <v>110 Hrs</v>
      </c>
    </row>
    <row r="637" spans="3:21" s="172" customFormat="1" ht="20.25" customHeight="1">
      <c r="C637" s="185"/>
      <c r="D637" s="190">
        <f t="shared" si="130"/>
        <v>637</v>
      </c>
      <c r="E637" s="194" t="s">
        <v>676</v>
      </c>
      <c r="F637" s="198">
        <f t="shared" si="135"/>
        <v>636</v>
      </c>
      <c r="G637" s="193" t="s">
        <v>44</v>
      </c>
      <c r="H637" s="193"/>
      <c r="I637" s="211">
        <v>2.77</v>
      </c>
      <c r="J637" s="195"/>
      <c r="K637" s="221">
        <v>1308</v>
      </c>
      <c r="L637" s="195" t="s">
        <v>81</v>
      </c>
      <c r="M637" s="204">
        <v>1</v>
      </c>
      <c r="N637" s="195" t="s">
        <v>39</v>
      </c>
      <c r="O637" s="205">
        <v>8</v>
      </c>
      <c r="P637" s="195" t="s">
        <v>112</v>
      </c>
      <c r="Q637" s="227">
        <f t="shared" si="132"/>
        <v>8</v>
      </c>
      <c r="R637" s="226">
        <v>1</v>
      </c>
      <c r="S637" s="227">
        <f t="shared" si="133"/>
        <v>9</v>
      </c>
      <c r="T637" s="203" t="s">
        <v>48</v>
      </c>
      <c r="U637" s="183" t="str">
        <f t="shared" si="134"/>
        <v>9 Hrs</v>
      </c>
    </row>
    <row r="638" spans="3:21" s="172" customFormat="1" ht="20.25" customHeight="1">
      <c r="C638" s="185">
        <f t="shared" ref="C638" si="136">D638</f>
        <v>638</v>
      </c>
      <c r="D638" s="190">
        <f t="shared" si="130"/>
        <v>638</v>
      </c>
      <c r="E638" s="196" t="s">
        <v>677</v>
      </c>
      <c r="F638" s="197">
        <f>D633</f>
        <v>633</v>
      </c>
      <c r="G638" s="193"/>
      <c r="H638" s="193"/>
      <c r="I638" s="195"/>
      <c r="J638" s="195"/>
      <c r="K638" s="221"/>
      <c r="L638" s="195"/>
      <c r="M638" s="204"/>
      <c r="N638" s="195"/>
      <c r="O638" s="205"/>
      <c r="P638" s="195"/>
      <c r="Q638" s="227"/>
      <c r="R638" s="226"/>
      <c r="S638" s="227"/>
      <c r="T638" s="203"/>
      <c r="U638" s="183"/>
    </row>
    <row r="639" spans="3:21" s="172" customFormat="1" ht="20.25" customHeight="1">
      <c r="C639" s="185"/>
      <c r="D639" s="190">
        <f t="shared" si="130"/>
        <v>639</v>
      </c>
      <c r="E639" s="194" t="s">
        <v>678</v>
      </c>
      <c r="F639" s="197"/>
      <c r="G639" s="193"/>
      <c r="H639" s="193"/>
      <c r="I639" s="195"/>
      <c r="J639" s="195"/>
      <c r="K639" s="221">
        <v>1</v>
      </c>
      <c r="L639" s="195" t="s">
        <v>39</v>
      </c>
      <c r="M639" s="204">
        <v>1</v>
      </c>
      <c r="N639" s="195" t="s">
        <v>661</v>
      </c>
      <c r="O639" s="205">
        <v>4</v>
      </c>
      <c r="P639" s="195" t="s">
        <v>112</v>
      </c>
      <c r="Q639" s="227">
        <f t="shared" ref="Q639" si="137">M639*O639</f>
        <v>4</v>
      </c>
      <c r="R639" s="226">
        <v>1</v>
      </c>
      <c r="S639" s="227">
        <f t="shared" si="133"/>
        <v>5</v>
      </c>
      <c r="T639" s="203" t="s">
        <v>48</v>
      </c>
      <c r="U639" s="183" t="str">
        <f t="shared" si="134"/>
        <v>5 Hrs</v>
      </c>
    </row>
    <row r="640" spans="3:21" s="172" customFormat="1" ht="20.25" customHeight="1">
      <c r="C640" s="185"/>
      <c r="D640" s="190">
        <f t="shared" si="130"/>
        <v>640</v>
      </c>
      <c r="E640" s="194" t="s">
        <v>677</v>
      </c>
      <c r="F640" s="198">
        <f>D639</f>
        <v>639</v>
      </c>
      <c r="G640" s="193" t="s">
        <v>656</v>
      </c>
      <c r="H640" s="193"/>
      <c r="I640" s="195"/>
      <c r="J640" s="221" t="s">
        <v>407</v>
      </c>
      <c r="K640" s="221">
        <v>1</v>
      </c>
      <c r="L640" s="195" t="s">
        <v>39</v>
      </c>
      <c r="M640" s="204">
        <v>1</v>
      </c>
      <c r="N640" s="195" t="s">
        <v>661</v>
      </c>
      <c r="O640" s="205">
        <v>12</v>
      </c>
      <c r="P640" s="195" t="s">
        <v>112</v>
      </c>
      <c r="Q640" s="227">
        <f t="shared" si="132"/>
        <v>12</v>
      </c>
      <c r="R640" s="226">
        <v>1</v>
      </c>
      <c r="S640" s="227">
        <f t="shared" si="133"/>
        <v>13</v>
      </c>
      <c r="T640" s="203" t="s">
        <v>48</v>
      </c>
      <c r="U640" s="183" t="str">
        <f t="shared" si="134"/>
        <v>13 Hrs</v>
      </c>
    </row>
    <row r="641" spans="3:21" s="172" customFormat="1" ht="20.25" customHeight="1">
      <c r="C641" s="185"/>
      <c r="D641" s="190">
        <f t="shared" si="130"/>
        <v>641</v>
      </c>
      <c r="E641" s="194" t="s">
        <v>679</v>
      </c>
      <c r="F641" s="198">
        <f t="shared" si="135"/>
        <v>640</v>
      </c>
      <c r="G641" s="193" t="s">
        <v>348</v>
      </c>
      <c r="H641" s="193"/>
      <c r="I641" s="195"/>
      <c r="J641" s="221" t="str">
        <f>J640</f>
        <v>6130 lg</v>
      </c>
      <c r="K641" s="221">
        <v>1</v>
      </c>
      <c r="L641" s="195" t="s">
        <v>39</v>
      </c>
      <c r="M641" s="204">
        <v>1</v>
      </c>
      <c r="N641" s="195" t="s">
        <v>661</v>
      </c>
      <c r="O641" s="205">
        <v>1</v>
      </c>
      <c r="P641" s="195" t="s">
        <v>41</v>
      </c>
      <c r="Q641" s="227">
        <f t="shared" si="132"/>
        <v>1</v>
      </c>
      <c r="R641" s="226">
        <v>0</v>
      </c>
      <c r="S641" s="227">
        <f t="shared" si="133"/>
        <v>1</v>
      </c>
      <c r="T641" s="203" t="s">
        <v>48</v>
      </c>
      <c r="U641" s="183" t="str">
        <f t="shared" si="134"/>
        <v>1 Hrs</v>
      </c>
    </row>
    <row r="642" spans="3:21" s="172" customFormat="1" ht="20.25" customHeight="1">
      <c r="C642" s="185"/>
      <c r="D642" s="190">
        <f t="shared" si="130"/>
        <v>642</v>
      </c>
      <c r="E642" s="194" t="s">
        <v>680</v>
      </c>
      <c r="F642" s="198">
        <f t="shared" si="135"/>
        <v>641</v>
      </c>
      <c r="G642" s="193" t="s">
        <v>640</v>
      </c>
      <c r="H642" s="193"/>
      <c r="I642" s="195"/>
      <c r="J642" s="221" t="str">
        <f>J641</f>
        <v>6130 lg</v>
      </c>
      <c r="K642" s="221">
        <v>1</v>
      </c>
      <c r="L642" s="195" t="s">
        <v>39</v>
      </c>
      <c r="M642" s="204">
        <v>1</v>
      </c>
      <c r="N642" s="195" t="s">
        <v>661</v>
      </c>
      <c r="O642" s="205">
        <v>4</v>
      </c>
      <c r="P642" s="195" t="s">
        <v>112</v>
      </c>
      <c r="Q642" s="227">
        <f t="shared" si="132"/>
        <v>4</v>
      </c>
      <c r="R642" s="226">
        <v>0</v>
      </c>
      <c r="S642" s="227">
        <f t="shared" si="133"/>
        <v>4</v>
      </c>
      <c r="T642" s="203" t="s">
        <v>48</v>
      </c>
      <c r="U642" s="183" t="str">
        <f t="shared" si="134"/>
        <v>4 Hrs</v>
      </c>
    </row>
    <row r="643" spans="3:21" s="172" customFormat="1" ht="20.25" customHeight="1">
      <c r="C643" s="185">
        <f>D643</f>
        <v>643</v>
      </c>
      <c r="D643" s="190">
        <f>D642+1</f>
        <v>643</v>
      </c>
      <c r="E643" s="196" t="s">
        <v>35</v>
      </c>
      <c r="F643" s="197">
        <f>D1273</f>
        <v>1263</v>
      </c>
      <c r="G643" s="193"/>
      <c r="H643" s="193"/>
      <c r="I643" s="195"/>
      <c r="J643" s="195"/>
      <c r="K643" s="203"/>
      <c r="L643" s="195"/>
      <c r="M643" s="204"/>
      <c r="N643" s="195"/>
      <c r="O643" s="205"/>
      <c r="P643" s="195"/>
      <c r="Q643" s="195"/>
      <c r="R643" s="226"/>
      <c r="S643" s="227"/>
      <c r="T643" s="203"/>
      <c r="U643" s="183"/>
    </row>
    <row r="644" spans="3:21" s="172" customFormat="1" ht="20.25" customHeight="1">
      <c r="C644" s="185"/>
      <c r="D644" s="190">
        <f t="shared" ref="D644:D706" si="138">D643+1</f>
        <v>644</v>
      </c>
      <c r="E644" s="194" t="s">
        <v>36</v>
      </c>
      <c r="F644" s="195"/>
      <c r="G644" s="193" t="s">
        <v>37</v>
      </c>
      <c r="H644" s="193"/>
      <c r="I644" s="206">
        <v>24</v>
      </c>
      <c r="J644" s="207" t="s">
        <v>38</v>
      </c>
      <c r="K644" s="208">
        <v>1</v>
      </c>
      <c r="L644" s="207" t="s">
        <v>39</v>
      </c>
      <c r="M644" s="209">
        <v>1</v>
      </c>
      <c r="N644" s="207" t="s">
        <v>40</v>
      </c>
      <c r="O644" s="210">
        <v>4</v>
      </c>
      <c r="P644" s="207" t="s">
        <v>41</v>
      </c>
      <c r="Q644" s="227">
        <f>M644*O644</f>
        <v>4</v>
      </c>
      <c r="R644" s="228"/>
      <c r="S644" s="227">
        <f t="shared" si="133"/>
        <v>4</v>
      </c>
      <c r="T644" s="203" t="s">
        <v>42</v>
      </c>
      <c r="U644" s="183" t="str">
        <f t="shared" si="134"/>
        <v>4 Days</v>
      </c>
    </row>
    <row r="645" spans="3:21" s="172" customFormat="1" ht="20.25" customHeight="1">
      <c r="C645" s="185"/>
      <c r="D645" s="190">
        <f t="shared" si="138"/>
        <v>645</v>
      </c>
      <c r="E645" s="194" t="s">
        <v>681</v>
      </c>
      <c r="F645" s="198">
        <f t="shared" ref="F645:F658" si="139">D644</f>
        <v>644</v>
      </c>
      <c r="G645" s="193" t="s">
        <v>44</v>
      </c>
      <c r="H645" s="193"/>
      <c r="I645" s="211">
        <v>24</v>
      </c>
      <c r="J645" s="212" t="s">
        <v>45</v>
      </c>
      <c r="K645" s="213">
        <v>1</v>
      </c>
      <c r="L645" s="195" t="s">
        <v>39</v>
      </c>
      <c r="M645" s="214">
        <f>LEFT(J645,SEARCH(" ",J645,1)-1)*K645*0.001</f>
        <v>6.7229999999999999</v>
      </c>
      <c r="N645" s="215" t="s">
        <v>46</v>
      </c>
      <c r="O645" s="216">
        <f>VLOOKUP(I645,BM!$B$3:$Y$62,2,FALSE)</f>
        <v>0.1</v>
      </c>
      <c r="P645" s="217" t="s">
        <v>47</v>
      </c>
      <c r="Q645" s="227">
        <f t="shared" ref="Q645" si="140">M645*O645</f>
        <v>0.67230000000000001</v>
      </c>
      <c r="R645" s="229">
        <v>1</v>
      </c>
      <c r="S645" s="227">
        <f t="shared" si="133"/>
        <v>1.67</v>
      </c>
      <c r="T645" s="230" t="s">
        <v>48</v>
      </c>
      <c r="U645" s="183" t="str">
        <f t="shared" si="134"/>
        <v>1.67 Hrs</v>
      </c>
    </row>
    <row r="646" spans="3:21" s="172" customFormat="1" ht="20.25" customHeight="1">
      <c r="C646" s="185"/>
      <c r="D646" s="190">
        <f t="shared" si="138"/>
        <v>646</v>
      </c>
      <c r="E646" s="194" t="s">
        <v>49</v>
      </c>
      <c r="F646" s="198">
        <f t="shared" si="139"/>
        <v>645</v>
      </c>
      <c r="G646" s="193" t="s">
        <v>44</v>
      </c>
      <c r="H646" s="193"/>
      <c r="I646" s="211">
        <v>24</v>
      </c>
      <c r="J646" s="198"/>
      <c r="K646" s="218">
        <v>1</v>
      </c>
      <c r="L646" s="195" t="s">
        <v>50</v>
      </c>
      <c r="M646" s="214">
        <v>1</v>
      </c>
      <c r="N646" s="195" t="s">
        <v>39</v>
      </c>
      <c r="O646" s="216">
        <v>1</v>
      </c>
      <c r="P646" s="195" t="s">
        <v>41</v>
      </c>
      <c r="Q646" s="227">
        <v>1</v>
      </c>
      <c r="R646" s="226"/>
      <c r="S646" s="227">
        <f t="shared" si="133"/>
        <v>1</v>
      </c>
      <c r="T646" s="203" t="s">
        <v>42</v>
      </c>
      <c r="U646" s="183" t="str">
        <f t="shared" si="134"/>
        <v>1 Days</v>
      </c>
    </row>
    <row r="647" spans="3:21" s="172" customFormat="1" ht="20.25" customHeight="1">
      <c r="C647" s="185"/>
      <c r="D647" s="190">
        <f t="shared" si="138"/>
        <v>647</v>
      </c>
      <c r="E647" s="194" t="s">
        <v>51</v>
      </c>
      <c r="F647" s="198">
        <f t="shared" si="139"/>
        <v>646</v>
      </c>
      <c r="G647" s="193" t="s">
        <v>52</v>
      </c>
      <c r="H647" s="193"/>
      <c r="I647" s="211">
        <v>24</v>
      </c>
      <c r="J647" s="198" t="str">
        <f>J645</f>
        <v>6723 MM</v>
      </c>
      <c r="K647" s="218">
        <v>1</v>
      </c>
      <c r="L647" s="195" t="s">
        <v>50</v>
      </c>
      <c r="M647" s="214">
        <f>LEFT(J647,SEARCH(" ",J647,1)-1)*K647*0.001</f>
        <v>6.7229999999999999</v>
      </c>
      <c r="N647" s="195" t="s">
        <v>46</v>
      </c>
      <c r="O647" s="216">
        <f>VLOOKUP(I647,BM!$B$3:$Y$62,3,FALSE)</f>
        <v>0.25</v>
      </c>
      <c r="P647" s="217" t="s">
        <v>53</v>
      </c>
      <c r="Q647" s="227">
        <f t="shared" ref="Q647:Q658" si="141">M647*O647</f>
        <v>1.68075</v>
      </c>
      <c r="R647" s="229">
        <v>1</v>
      </c>
      <c r="S647" s="227">
        <f t="shared" si="133"/>
        <v>2.68</v>
      </c>
      <c r="T647" s="230" t="s">
        <v>48</v>
      </c>
      <c r="U647" s="183" t="str">
        <f t="shared" si="134"/>
        <v>2.68 Hrs</v>
      </c>
    </row>
    <row r="648" spans="3:21" s="172" customFormat="1" ht="20.25" customHeight="1">
      <c r="C648" s="185"/>
      <c r="D648" s="190">
        <f t="shared" si="138"/>
        <v>648</v>
      </c>
      <c r="E648" s="194" t="s">
        <v>54</v>
      </c>
      <c r="F648" s="198">
        <f t="shared" si="139"/>
        <v>647</v>
      </c>
      <c r="G648" s="193" t="s">
        <v>55</v>
      </c>
      <c r="H648" s="193"/>
      <c r="I648" s="211">
        <v>24</v>
      </c>
      <c r="J648" s="198" t="str">
        <f>J647</f>
        <v>6723 MM</v>
      </c>
      <c r="K648" s="218">
        <v>1</v>
      </c>
      <c r="L648" s="195" t="s">
        <v>50</v>
      </c>
      <c r="M648" s="214">
        <v>1</v>
      </c>
      <c r="N648" s="195" t="s">
        <v>39</v>
      </c>
      <c r="O648" s="219">
        <v>10</v>
      </c>
      <c r="P648" s="217" t="s">
        <v>41</v>
      </c>
      <c r="Q648" s="227">
        <f t="shared" si="141"/>
        <v>10</v>
      </c>
      <c r="R648" s="229"/>
      <c r="S648" s="227">
        <f t="shared" si="133"/>
        <v>10</v>
      </c>
      <c r="T648" s="203" t="s">
        <v>42</v>
      </c>
      <c r="U648" s="183" t="str">
        <f t="shared" si="134"/>
        <v>10 Days</v>
      </c>
    </row>
    <row r="649" spans="3:21" s="172" customFormat="1" ht="20.25" customHeight="1">
      <c r="C649" s="185"/>
      <c r="D649" s="190">
        <f t="shared" si="138"/>
        <v>649</v>
      </c>
      <c r="E649" s="194" t="s">
        <v>56</v>
      </c>
      <c r="F649" s="198">
        <f t="shared" si="139"/>
        <v>648</v>
      </c>
      <c r="G649" s="193" t="s">
        <v>44</v>
      </c>
      <c r="H649" s="193"/>
      <c r="I649" s="211">
        <v>24</v>
      </c>
      <c r="J649" s="198" t="str">
        <f t="shared" ref="J649:J655" si="142">J648</f>
        <v>6723 MM</v>
      </c>
      <c r="K649" s="218">
        <v>1</v>
      </c>
      <c r="L649" s="195" t="s">
        <v>50</v>
      </c>
      <c r="M649" s="204">
        <v>1</v>
      </c>
      <c r="N649" s="195" t="s">
        <v>39</v>
      </c>
      <c r="O649" s="219">
        <v>1</v>
      </c>
      <c r="P649" s="217" t="s">
        <v>41</v>
      </c>
      <c r="Q649" s="227">
        <f t="shared" si="141"/>
        <v>1</v>
      </c>
      <c r="R649" s="229"/>
      <c r="S649" s="227">
        <f t="shared" si="133"/>
        <v>1</v>
      </c>
      <c r="T649" s="203" t="s">
        <v>42</v>
      </c>
      <c r="U649" s="183" t="str">
        <f t="shared" si="134"/>
        <v>1 Days</v>
      </c>
    </row>
    <row r="650" spans="3:21" s="172" customFormat="1" ht="20.25" customHeight="1">
      <c r="C650" s="185"/>
      <c r="D650" s="190">
        <f t="shared" si="138"/>
        <v>650</v>
      </c>
      <c r="E650" s="194" t="s">
        <v>57</v>
      </c>
      <c r="F650" s="198">
        <f t="shared" si="139"/>
        <v>649</v>
      </c>
      <c r="G650" s="193" t="s">
        <v>55</v>
      </c>
      <c r="H650" s="193"/>
      <c r="I650" s="211">
        <v>24</v>
      </c>
      <c r="J650" s="198" t="str">
        <f t="shared" si="142"/>
        <v>6723 MM</v>
      </c>
      <c r="K650" s="218">
        <v>1</v>
      </c>
      <c r="L650" s="195" t="s">
        <v>50</v>
      </c>
      <c r="M650" s="204">
        <v>1</v>
      </c>
      <c r="N650" s="195" t="s">
        <v>39</v>
      </c>
      <c r="O650" s="219">
        <v>1</v>
      </c>
      <c r="P650" s="217" t="s">
        <v>41</v>
      </c>
      <c r="Q650" s="227">
        <f t="shared" si="141"/>
        <v>1</v>
      </c>
      <c r="R650" s="229"/>
      <c r="S650" s="227">
        <f t="shared" si="133"/>
        <v>1</v>
      </c>
      <c r="T650" s="203" t="s">
        <v>42</v>
      </c>
      <c r="U650" s="183" t="str">
        <f t="shared" si="134"/>
        <v>1 Days</v>
      </c>
    </row>
    <row r="651" spans="3:21" s="172" customFormat="1" ht="20.25" customHeight="1">
      <c r="C651" s="185"/>
      <c r="D651" s="190">
        <f t="shared" si="138"/>
        <v>651</v>
      </c>
      <c r="E651" s="194" t="s">
        <v>58</v>
      </c>
      <c r="F651" s="198">
        <f t="shared" si="139"/>
        <v>650</v>
      </c>
      <c r="G651" s="193" t="s">
        <v>55</v>
      </c>
      <c r="H651" s="193"/>
      <c r="I651" s="211">
        <v>24</v>
      </c>
      <c r="J651" s="198" t="str">
        <f t="shared" si="142"/>
        <v>6723 MM</v>
      </c>
      <c r="K651" s="218">
        <v>1</v>
      </c>
      <c r="L651" s="195" t="s">
        <v>50</v>
      </c>
      <c r="M651" s="204">
        <v>1</v>
      </c>
      <c r="N651" s="195" t="s">
        <v>39</v>
      </c>
      <c r="O651" s="219">
        <v>4</v>
      </c>
      <c r="P651" s="217" t="s">
        <v>41</v>
      </c>
      <c r="Q651" s="227">
        <f t="shared" si="141"/>
        <v>4</v>
      </c>
      <c r="R651" s="229"/>
      <c r="S651" s="227">
        <f t="shared" si="133"/>
        <v>4</v>
      </c>
      <c r="T651" s="203" t="s">
        <v>42</v>
      </c>
      <c r="U651" s="183" t="str">
        <f t="shared" si="134"/>
        <v>4 Days</v>
      </c>
    </row>
    <row r="652" spans="3:21" s="172" customFormat="1" ht="20.25" customHeight="1">
      <c r="C652" s="185"/>
      <c r="D652" s="190">
        <f t="shared" si="138"/>
        <v>652</v>
      </c>
      <c r="E652" s="194" t="s">
        <v>59</v>
      </c>
      <c r="F652" s="198">
        <f t="shared" si="139"/>
        <v>651</v>
      </c>
      <c r="G652" s="193" t="s">
        <v>44</v>
      </c>
      <c r="H652" s="193"/>
      <c r="I652" s="211">
        <v>24</v>
      </c>
      <c r="J652" s="198" t="str">
        <f t="shared" si="142"/>
        <v>6723 MM</v>
      </c>
      <c r="K652" s="218">
        <v>1</v>
      </c>
      <c r="L652" s="195" t="s">
        <v>50</v>
      </c>
      <c r="M652" s="204">
        <v>1</v>
      </c>
      <c r="N652" s="195" t="s">
        <v>39</v>
      </c>
      <c r="O652" s="219">
        <v>1</v>
      </c>
      <c r="P652" s="217" t="s">
        <v>41</v>
      </c>
      <c r="Q652" s="227">
        <f t="shared" si="141"/>
        <v>1</v>
      </c>
      <c r="R652" s="229"/>
      <c r="S652" s="227">
        <f t="shared" si="133"/>
        <v>1</v>
      </c>
      <c r="T652" s="203" t="s">
        <v>42</v>
      </c>
      <c r="U652" s="183" t="str">
        <f t="shared" si="134"/>
        <v>1 Days</v>
      </c>
    </row>
    <row r="653" spans="3:21" s="172" customFormat="1" ht="20.25" customHeight="1">
      <c r="C653" s="185"/>
      <c r="D653" s="190">
        <f t="shared" si="138"/>
        <v>653</v>
      </c>
      <c r="E653" s="194" t="s">
        <v>60</v>
      </c>
      <c r="F653" s="198">
        <f t="shared" si="139"/>
        <v>652</v>
      </c>
      <c r="G653" s="193" t="s">
        <v>61</v>
      </c>
      <c r="H653" s="193"/>
      <c r="I653" s="211">
        <v>24</v>
      </c>
      <c r="J653" s="198" t="str">
        <f t="shared" si="142"/>
        <v>6723 MM</v>
      </c>
      <c r="K653" s="218">
        <v>1</v>
      </c>
      <c r="L653" s="195" t="s">
        <v>50</v>
      </c>
      <c r="M653" s="204">
        <v>1</v>
      </c>
      <c r="N653" s="195" t="s">
        <v>39</v>
      </c>
      <c r="O653" s="219">
        <v>1</v>
      </c>
      <c r="P653" s="217" t="s">
        <v>41</v>
      </c>
      <c r="Q653" s="227">
        <f t="shared" si="141"/>
        <v>1</v>
      </c>
      <c r="R653" s="229">
        <v>1</v>
      </c>
      <c r="S653" s="227">
        <f t="shared" si="133"/>
        <v>2</v>
      </c>
      <c r="T653" s="203" t="s">
        <v>42</v>
      </c>
      <c r="U653" s="183" t="str">
        <f t="shared" si="134"/>
        <v>2 Days</v>
      </c>
    </row>
    <row r="654" spans="3:21" s="172" customFormat="1" ht="20.25" customHeight="1">
      <c r="C654" s="185"/>
      <c r="D654" s="190">
        <f t="shared" si="138"/>
        <v>654</v>
      </c>
      <c r="E654" s="194" t="s">
        <v>62</v>
      </c>
      <c r="F654" s="198">
        <f t="shared" si="139"/>
        <v>653</v>
      </c>
      <c r="G654" s="193" t="s">
        <v>63</v>
      </c>
      <c r="H654" s="193"/>
      <c r="I654" s="211">
        <v>24</v>
      </c>
      <c r="J654" s="198" t="str">
        <f t="shared" si="142"/>
        <v>6723 MM</v>
      </c>
      <c r="K654" s="218">
        <v>1</v>
      </c>
      <c r="L654" s="195" t="s">
        <v>50</v>
      </c>
      <c r="M654" s="204">
        <v>1</v>
      </c>
      <c r="N654" s="195" t="s">
        <v>39</v>
      </c>
      <c r="O654" s="219">
        <v>1</v>
      </c>
      <c r="P654" s="217" t="s">
        <v>41</v>
      </c>
      <c r="Q654" s="227">
        <f t="shared" si="141"/>
        <v>1</v>
      </c>
      <c r="R654" s="229"/>
      <c r="S654" s="227">
        <f t="shared" si="133"/>
        <v>1</v>
      </c>
      <c r="T654" s="203" t="s">
        <v>42</v>
      </c>
      <c r="U654" s="183" t="str">
        <f t="shared" si="134"/>
        <v>1 Days</v>
      </c>
    </row>
    <row r="655" spans="3:21" s="172" customFormat="1" ht="20.25" customHeight="1">
      <c r="C655" s="185"/>
      <c r="D655" s="190">
        <f t="shared" si="138"/>
        <v>655</v>
      </c>
      <c r="E655" s="194" t="s">
        <v>64</v>
      </c>
      <c r="F655" s="198">
        <f t="shared" si="139"/>
        <v>654</v>
      </c>
      <c r="G655" s="193" t="s">
        <v>63</v>
      </c>
      <c r="H655" s="193"/>
      <c r="I655" s="211">
        <v>24</v>
      </c>
      <c r="J655" s="198" t="str">
        <f t="shared" si="142"/>
        <v>6723 MM</v>
      </c>
      <c r="K655" s="218">
        <v>1</v>
      </c>
      <c r="L655" s="195" t="s">
        <v>50</v>
      </c>
      <c r="M655" s="204">
        <v>1</v>
      </c>
      <c r="N655" s="195" t="s">
        <v>39</v>
      </c>
      <c r="O655" s="219">
        <v>1</v>
      </c>
      <c r="P655" s="217" t="s">
        <v>41</v>
      </c>
      <c r="Q655" s="227">
        <f t="shared" si="141"/>
        <v>1</v>
      </c>
      <c r="R655" s="229"/>
      <c r="S655" s="227">
        <f t="shared" si="133"/>
        <v>1</v>
      </c>
      <c r="T655" s="203" t="s">
        <v>42</v>
      </c>
      <c r="U655" s="183" t="str">
        <f t="shared" si="134"/>
        <v>1 Days</v>
      </c>
    </row>
    <row r="656" spans="3:21" s="172" customFormat="1" ht="20.25" customHeight="1">
      <c r="C656" s="185"/>
      <c r="D656" s="190">
        <f t="shared" si="138"/>
        <v>656</v>
      </c>
      <c r="E656" s="194" t="s">
        <v>682</v>
      </c>
      <c r="F656" s="198">
        <f t="shared" si="139"/>
        <v>655</v>
      </c>
      <c r="G656" s="193" t="s">
        <v>44</v>
      </c>
      <c r="H656" s="193" t="s">
        <v>66</v>
      </c>
      <c r="I656" s="211">
        <v>24</v>
      </c>
      <c r="J656" s="212" t="s">
        <v>67</v>
      </c>
      <c r="K656" s="218">
        <v>1</v>
      </c>
      <c r="L656" s="195" t="s">
        <v>50</v>
      </c>
      <c r="M656" s="214">
        <f>LEFT(J656,SEARCH(" ",J656,1)-1)*K656*0.001*3.142</f>
        <v>5.3162639999999994</v>
      </c>
      <c r="N656" s="195" t="s">
        <v>68</v>
      </c>
      <c r="O656" s="216">
        <f>VLOOKUP(I656,BM!$B$3:$Y$62,2,FALSE)</f>
        <v>0.1</v>
      </c>
      <c r="P656" s="217" t="s">
        <v>53</v>
      </c>
      <c r="Q656" s="227">
        <f t="shared" si="141"/>
        <v>0.53162639999999994</v>
      </c>
      <c r="R656" s="229">
        <v>1</v>
      </c>
      <c r="S656" s="227">
        <f t="shared" si="133"/>
        <v>1.53</v>
      </c>
      <c r="T656" s="230" t="s">
        <v>48</v>
      </c>
      <c r="U656" s="183" t="str">
        <f t="shared" si="134"/>
        <v>1.53 Hrs</v>
      </c>
    </row>
    <row r="657" spans="3:21" s="172" customFormat="1" ht="20.25" customHeight="1">
      <c r="C657" s="185"/>
      <c r="D657" s="190">
        <f t="shared" si="138"/>
        <v>657</v>
      </c>
      <c r="E657" s="194" t="s">
        <v>683</v>
      </c>
      <c r="F657" s="198">
        <f t="shared" si="139"/>
        <v>656</v>
      </c>
      <c r="G657" s="193" t="s">
        <v>52</v>
      </c>
      <c r="H657" s="193"/>
      <c r="I657" s="211">
        <v>24</v>
      </c>
      <c r="J657" s="198" t="str">
        <f>J656</f>
        <v>1692 od</v>
      </c>
      <c r="K657" s="218">
        <v>1</v>
      </c>
      <c r="L657" s="195" t="s">
        <v>50</v>
      </c>
      <c r="M657" s="214">
        <f>LEFT(J657,SEARCH(" ",J657,1)-1)*K657*0.001*3.142</f>
        <v>5.3162639999999994</v>
      </c>
      <c r="N657" s="195" t="s">
        <v>68</v>
      </c>
      <c r="O657" s="216">
        <f>VLOOKUP(I657,BM!$B$3:$Y$62,15,FALSE)</f>
        <v>1</v>
      </c>
      <c r="P657" s="217" t="s">
        <v>53</v>
      </c>
      <c r="Q657" s="227">
        <f t="shared" si="141"/>
        <v>5.3162639999999994</v>
      </c>
      <c r="R657" s="229">
        <v>1</v>
      </c>
      <c r="S657" s="227">
        <f t="shared" si="133"/>
        <v>6.32</v>
      </c>
      <c r="T657" s="230" t="s">
        <v>48</v>
      </c>
      <c r="U657" s="183" t="str">
        <f t="shared" si="134"/>
        <v>6.32 Hrs</v>
      </c>
    </row>
    <row r="658" spans="3:21" s="172" customFormat="1" ht="20.25" customHeight="1">
      <c r="C658" s="185"/>
      <c r="D658" s="190">
        <f t="shared" si="138"/>
        <v>658</v>
      </c>
      <c r="E658" s="194" t="s">
        <v>684</v>
      </c>
      <c r="F658" s="198">
        <f t="shared" si="139"/>
        <v>657</v>
      </c>
      <c r="G658" s="193" t="s">
        <v>61</v>
      </c>
      <c r="H658" s="193"/>
      <c r="I658" s="211">
        <v>24</v>
      </c>
      <c r="J658" s="198" t="str">
        <f>J657</f>
        <v>1692 od</v>
      </c>
      <c r="K658" s="218">
        <v>1</v>
      </c>
      <c r="L658" s="195" t="s">
        <v>50</v>
      </c>
      <c r="M658" s="214">
        <f>LEFT(J658,SEARCH(" ",J658,1)-1)*K658*0.001*3.142</f>
        <v>5.3162639999999994</v>
      </c>
      <c r="N658" s="195" t="s">
        <v>68</v>
      </c>
      <c r="O658" s="216">
        <f>VLOOKUP(I658,BM!$B$3:$Y$62,6,FALSE)</f>
        <v>1</v>
      </c>
      <c r="P658" s="217" t="s">
        <v>53</v>
      </c>
      <c r="Q658" s="227">
        <f t="shared" si="141"/>
        <v>5.3162639999999994</v>
      </c>
      <c r="R658" s="229"/>
      <c r="S658" s="227">
        <f t="shared" si="133"/>
        <v>5.32</v>
      </c>
      <c r="T658" s="230" t="s">
        <v>48</v>
      </c>
      <c r="U658" s="183" t="str">
        <f t="shared" si="134"/>
        <v>5.32 Hrs</v>
      </c>
    </row>
    <row r="659" spans="3:21" s="172" customFormat="1" ht="20.25" customHeight="1">
      <c r="C659" s="185">
        <f t="shared" ref="C659:C660" si="143">D659</f>
        <v>659</v>
      </c>
      <c r="D659" s="190">
        <f t="shared" si="138"/>
        <v>659</v>
      </c>
      <c r="E659" s="191" t="s">
        <v>71</v>
      </c>
      <c r="F659" s="192"/>
      <c r="G659" s="193"/>
      <c r="H659" s="193"/>
      <c r="I659" s="195"/>
      <c r="J659" s="195"/>
      <c r="K659" s="218"/>
      <c r="L659" s="195"/>
      <c r="M659" s="204"/>
      <c r="N659" s="195"/>
      <c r="O659" s="219"/>
      <c r="P659" s="217"/>
      <c r="Q659" s="227"/>
      <c r="R659" s="229"/>
      <c r="S659" s="227"/>
      <c r="T659" s="230"/>
      <c r="U659" s="183"/>
    </row>
    <row r="660" spans="3:21" s="172" customFormat="1" ht="20.25" customHeight="1">
      <c r="C660" s="185">
        <f t="shared" si="143"/>
        <v>660</v>
      </c>
      <c r="D660" s="190">
        <f t="shared" si="138"/>
        <v>660</v>
      </c>
      <c r="E660" s="191" t="s">
        <v>685</v>
      </c>
      <c r="F660" s="197">
        <f>D1274</f>
        <v>1264</v>
      </c>
      <c r="G660" s="193"/>
      <c r="H660" s="193"/>
      <c r="I660" s="195"/>
      <c r="J660" s="195"/>
      <c r="K660" s="218"/>
      <c r="L660" s="195"/>
      <c r="M660" s="204"/>
      <c r="N660" s="195"/>
      <c r="O660" s="219"/>
      <c r="P660" s="217"/>
      <c r="Q660" s="227"/>
      <c r="R660" s="229"/>
      <c r="S660" s="227"/>
      <c r="T660" s="230"/>
      <c r="U660" s="183"/>
    </row>
    <row r="661" spans="3:21" s="172" customFormat="1" ht="20.25" customHeight="1">
      <c r="C661" s="185"/>
      <c r="D661" s="190">
        <f t="shared" si="138"/>
        <v>661</v>
      </c>
      <c r="E661" s="194" t="s">
        <v>686</v>
      </c>
      <c r="F661" s="195"/>
      <c r="G661" s="193"/>
      <c r="H661" s="193" t="s">
        <v>66</v>
      </c>
      <c r="I661" s="211" t="s">
        <v>74</v>
      </c>
      <c r="J661" s="195" t="str">
        <f>J658</f>
        <v>1692 od</v>
      </c>
      <c r="K661" s="218">
        <v>1</v>
      </c>
      <c r="L661" s="195" t="s">
        <v>39</v>
      </c>
      <c r="M661" s="204">
        <v>1</v>
      </c>
      <c r="N661" s="195" t="s">
        <v>50</v>
      </c>
      <c r="O661" s="219">
        <v>2</v>
      </c>
      <c r="P661" s="217" t="s">
        <v>41</v>
      </c>
      <c r="Q661" s="227">
        <f t="shared" ref="Q661:Q662" si="144">M661*O661</f>
        <v>2</v>
      </c>
      <c r="R661" s="229"/>
      <c r="S661" s="227">
        <f t="shared" si="133"/>
        <v>2</v>
      </c>
      <c r="T661" s="203" t="s">
        <v>42</v>
      </c>
      <c r="U661" s="183" t="str">
        <f t="shared" si="134"/>
        <v>2 Days</v>
      </c>
    </row>
    <row r="662" spans="3:21" s="172" customFormat="1" ht="20.25" customHeight="1">
      <c r="C662" s="185"/>
      <c r="D662" s="190">
        <f t="shared" si="138"/>
        <v>662</v>
      </c>
      <c r="E662" s="194" t="s">
        <v>687</v>
      </c>
      <c r="F662" s="198">
        <f>D661</f>
        <v>661</v>
      </c>
      <c r="G662" s="193" t="s">
        <v>55</v>
      </c>
      <c r="H662" s="193"/>
      <c r="I662" s="220" t="str">
        <f>I661</f>
        <v>145 t</v>
      </c>
      <c r="J662" s="195" t="str">
        <f>J661</f>
        <v>1692 od</v>
      </c>
      <c r="K662" s="218">
        <v>1</v>
      </c>
      <c r="L662" s="195" t="s">
        <v>39</v>
      </c>
      <c r="M662" s="204">
        <v>1</v>
      </c>
      <c r="N662" s="195" t="s">
        <v>50</v>
      </c>
      <c r="O662" s="219">
        <v>5</v>
      </c>
      <c r="P662" s="217" t="s">
        <v>41</v>
      </c>
      <c r="Q662" s="227">
        <f t="shared" si="144"/>
        <v>5</v>
      </c>
      <c r="R662" s="229"/>
      <c r="S662" s="227">
        <f t="shared" si="133"/>
        <v>5</v>
      </c>
      <c r="T662" s="203" t="s">
        <v>42</v>
      </c>
      <c r="U662" s="183" t="str">
        <f t="shared" si="134"/>
        <v>5 Days</v>
      </c>
    </row>
    <row r="663" spans="3:21" s="172" customFormat="1" ht="20.25" customHeight="1">
      <c r="C663" s="185">
        <f>D663</f>
        <v>663</v>
      </c>
      <c r="D663" s="190">
        <f t="shared" si="138"/>
        <v>663</v>
      </c>
      <c r="E663" s="191" t="s">
        <v>76</v>
      </c>
      <c r="F663" s="197">
        <f>D660</f>
        <v>660</v>
      </c>
      <c r="G663" s="193"/>
      <c r="H663" s="193"/>
      <c r="I663" s="195"/>
      <c r="J663" s="195"/>
      <c r="K663" s="218"/>
      <c r="L663" s="195"/>
      <c r="M663" s="204"/>
      <c r="N663" s="195"/>
      <c r="O663" s="219"/>
      <c r="P663" s="217"/>
      <c r="Q663" s="227"/>
      <c r="R663" s="229"/>
      <c r="S663" s="227"/>
      <c r="T663" s="230"/>
      <c r="U663" s="183"/>
    </row>
    <row r="664" spans="3:21" s="172" customFormat="1" ht="20.25" customHeight="1">
      <c r="C664" s="185"/>
      <c r="D664" s="190">
        <f t="shared" si="138"/>
        <v>664</v>
      </c>
      <c r="E664" s="194" t="s">
        <v>77</v>
      </c>
      <c r="F664" s="198"/>
      <c r="G664" s="193" t="s">
        <v>55</v>
      </c>
      <c r="H664" s="193"/>
      <c r="I664" s="211" t="str">
        <f>I661</f>
        <v>145 t</v>
      </c>
      <c r="J664" s="221" t="s">
        <v>78</v>
      </c>
      <c r="K664" s="218">
        <v>1</v>
      </c>
      <c r="L664" s="195" t="s">
        <v>39</v>
      </c>
      <c r="M664" s="214">
        <f>LEFT(J664,SEARCH(" ",J664,1)-1)*LEFT(I664,SEARCH(" ",I664,1)-1)*K664/1000</f>
        <v>189.66</v>
      </c>
      <c r="N664" s="195" t="s">
        <v>79</v>
      </c>
      <c r="O664" s="216">
        <f>1/1.5^1</f>
        <v>0.66666666666666663</v>
      </c>
      <c r="P664" s="217" t="s">
        <v>47</v>
      </c>
      <c r="Q664" s="227">
        <f>M664*O664/24</f>
        <v>5.2683333333333335</v>
      </c>
      <c r="R664" s="229"/>
      <c r="S664" s="227">
        <f t="shared" si="133"/>
        <v>5.27</v>
      </c>
      <c r="T664" s="203" t="s">
        <v>42</v>
      </c>
      <c r="U664" s="183" t="str">
        <f t="shared" si="134"/>
        <v>5.27 Days</v>
      </c>
    </row>
    <row r="665" spans="3:21" s="172" customFormat="1" ht="20.25" customHeight="1">
      <c r="C665" s="185"/>
      <c r="D665" s="190">
        <f t="shared" si="138"/>
        <v>665</v>
      </c>
      <c r="E665" s="194" t="s">
        <v>80</v>
      </c>
      <c r="F665" s="198">
        <f t="shared" ref="F665:F669" si="145">D664</f>
        <v>664</v>
      </c>
      <c r="G665" s="193" t="s">
        <v>55</v>
      </c>
      <c r="H665" s="193"/>
      <c r="I665" s="211" t="str">
        <f>I661</f>
        <v>145 t</v>
      </c>
      <c r="J665" s="195" t="str">
        <f>J664</f>
        <v>1308 holes</v>
      </c>
      <c r="K665" s="218">
        <v>1</v>
      </c>
      <c r="L665" s="195" t="s">
        <v>40</v>
      </c>
      <c r="M665" s="214" t="str">
        <f>LEFT(J665,SEARCH(" ",J665,1)-1)</f>
        <v>1308</v>
      </c>
      <c r="N665" s="195" t="s">
        <v>81</v>
      </c>
      <c r="O665" s="216">
        <f>1/60*5</f>
        <v>8.3333333333333329E-2</v>
      </c>
      <c r="P665" s="217" t="s">
        <v>47</v>
      </c>
      <c r="Q665" s="227">
        <f>M665*O665/24</f>
        <v>4.541666666666667</v>
      </c>
      <c r="R665" s="229"/>
      <c r="S665" s="227">
        <f t="shared" si="133"/>
        <v>4.54</v>
      </c>
      <c r="T665" s="203" t="s">
        <v>42</v>
      </c>
      <c r="U665" s="183" t="str">
        <f t="shared" si="134"/>
        <v>4.54 Days</v>
      </c>
    </row>
    <row r="666" spans="3:21" s="172" customFormat="1" ht="20.25" customHeight="1">
      <c r="C666" s="185"/>
      <c r="D666" s="190">
        <f t="shared" si="138"/>
        <v>666</v>
      </c>
      <c r="E666" s="194" t="s">
        <v>82</v>
      </c>
      <c r="F666" s="198">
        <f t="shared" si="145"/>
        <v>665</v>
      </c>
      <c r="G666" s="193" t="s">
        <v>55</v>
      </c>
      <c r="H666" s="193"/>
      <c r="I666" s="211" t="str">
        <f>I661</f>
        <v>145 t</v>
      </c>
      <c r="J666" s="195"/>
      <c r="K666" s="218">
        <v>1</v>
      </c>
      <c r="L666" s="195" t="s">
        <v>83</v>
      </c>
      <c r="M666" s="222">
        <v>1</v>
      </c>
      <c r="N666" s="195" t="s">
        <v>84</v>
      </c>
      <c r="O666" s="216">
        <v>1</v>
      </c>
      <c r="P666" s="217" t="s">
        <v>41</v>
      </c>
      <c r="Q666" s="227">
        <f>M666*O666</f>
        <v>1</v>
      </c>
      <c r="R666" s="229"/>
      <c r="S666" s="227">
        <f t="shared" si="133"/>
        <v>1</v>
      </c>
      <c r="T666" s="203" t="s">
        <v>42</v>
      </c>
      <c r="U666" s="183" t="str">
        <f t="shared" si="134"/>
        <v>1 Days</v>
      </c>
    </row>
    <row r="667" spans="3:21" s="172" customFormat="1" ht="20.25" customHeight="1">
      <c r="C667" s="185"/>
      <c r="D667" s="190">
        <f t="shared" si="138"/>
        <v>667</v>
      </c>
      <c r="E667" s="194" t="s">
        <v>85</v>
      </c>
      <c r="F667" s="198">
        <f t="shared" si="145"/>
        <v>666</v>
      </c>
      <c r="G667" s="193" t="s">
        <v>55</v>
      </c>
      <c r="H667" s="193"/>
      <c r="I667" s="211" t="str">
        <f>I661</f>
        <v>145 t</v>
      </c>
      <c r="J667" s="195"/>
      <c r="K667" s="218">
        <v>1</v>
      </c>
      <c r="L667" s="195" t="s">
        <v>83</v>
      </c>
      <c r="M667" s="204">
        <v>1</v>
      </c>
      <c r="N667" s="195" t="s">
        <v>84</v>
      </c>
      <c r="O667" s="219">
        <v>4</v>
      </c>
      <c r="P667" s="217" t="s">
        <v>41</v>
      </c>
      <c r="Q667" s="227">
        <f t="shared" ref="Q667:Q668" si="146">M667*O667</f>
        <v>4</v>
      </c>
      <c r="R667" s="229"/>
      <c r="S667" s="227">
        <f t="shared" si="133"/>
        <v>4</v>
      </c>
      <c r="T667" s="203" t="s">
        <v>42</v>
      </c>
      <c r="U667" s="183" t="str">
        <f t="shared" si="134"/>
        <v>4 Days</v>
      </c>
    </row>
    <row r="668" spans="3:21" s="172" customFormat="1" ht="20.25" customHeight="1">
      <c r="C668" s="185"/>
      <c r="D668" s="190">
        <f t="shared" si="138"/>
        <v>668</v>
      </c>
      <c r="E668" s="194" t="s">
        <v>86</v>
      </c>
      <c r="F668" s="198">
        <f t="shared" si="145"/>
        <v>667</v>
      </c>
      <c r="G668" s="193" t="s">
        <v>44</v>
      </c>
      <c r="H668" s="193"/>
      <c r="I668" s="211" t="str">
        <f>I661</f>
        <v>145 t</v>
      </c>
      <c r="J668" s="195" t="str">
        <f>J665</f>
        <v>1308 holes</v>
      </c>
      <c r="K668" s="218">
        <v>1</v>
      </c>
      <c r="L668" s="195" t="s">
        <v>40</v>
      </c>
      <c r="M668" s="214" t="str">
        <f>LEFT(J668,SEARCH(" ",J668,1)-1)</f>
        <v>1308</v>
      </c>
      <c r="N668" s="195" t="s">
        <v>40</v>
      </c>
      <c r="O668" s="216">
        <f>1/60*3</f>
        <v>0.05</v>
      </c>
      <c r="P668" s="217" t="s">
        <v>87</v>
      </c>
      <c r="Q668" s="227">
        <f t="shared" si="146"/>
        <v>65.400000000000006</v>
      </c>
      <c r="R668" s="229"/>
      <c r="S668" s="227">
        <f t="shared" si="133"/>
        <v>65.400000000000006</v>
      </c>
      <c r="T668" s="230" t="s">
        <v>48</v>
      </c>
      <c r="U668" s="183" t="str">
        <f t="shared" ref="U668:U730" si="147">CONCATENATE(S668," ",T668)</f>
        <v>65.4 Hrs</v>
      </c>
    </row>
    <row r="669" spans="3:21" s="172" customFormat="1" ht="20.25" customHeight="1">
      <c r="C669" s="185"/>
      <c r="D669" s="190">
        <f t="shared" si="138"/>
        <v>669</v>
      </c>
      <c r="E669" s="194" t="s">
        <v>88</v>
      </c>
      <c r="F669" s="198">
        <f t="shared" si="145"/>
        <v>668</v>
      </c>
      <c r="G669" s="193" t="s">
        <v>44</v>
      </c>
      <c r="H669" s="193"/>
      <c r="I669" s="195"/>
      <c r="J669" s="195"/>
      <c r="K669" s="218"/>
      <c r="L669" s="195"/>
      <c r="M669" s="204"/>
      <c r="N669" s="195"/>
      <c r="O669" s="219"/>
      <c r="P669" s="217"/>
      <c r="Q669" s="227"/>
      <c r="R669" s="229"/>
      <c r="S669" s="227"/>
      <c r="T669" s="230"/>
      <c r="U669" s="183"/>
    </row>
    <row r="670" spans="3:21" s="172" customFormat="1" ht="20.25" customHeight="1">
      <c r="C670" s="185">
        <f>D670</f>
        <v>670</v>
      </c>
      <c r="D670" s="190">
        <f t="shared" si="138"/>
        <v>670</v>
      </c>
      <c r="E670" s="191" t="s">
        <v>89</v>
      </c>
      <c r="F670" s="197">
        <f>D1274</f>
        <v>1264</v>
      </c>
      <c r="G670" s="193"/>
      <c r="H670" s="193"/>
      <c r="I670" s="195"/>
      <c r="J670" s="195"/>
      <c r="K670" s="218"/>
      <c r="L670" s="195"/>
      <c r="M670" s="204"/>
      <c r="N670" s="195"/>
      <c r="O670" s="219"/>
      <c r="P670" s="217"/>
      <c r="Q670" s="227"/>
      <c r="R670" s="229"/>
      <c r="S670" s="227"/>
      <c r="T670" s="230"/>
      <c r="U670" s="183"/>
    </row>
    <row r="671" spans="3:21" s="172" customFormat="1" ht="20.25" customHeight="1">
      <c r="C671" s="185"/>
      <c r="D671" s="190">
        <f t="shared" si="138"/>
        <v>671</v>
      </c>
      <c r="E671" s="194" t="s">
        <v>73</v>
      </c>
      <c r="F671" s="198"/>
      <c r="G671" s="193"/>
      <c r="H671" s="193"/>
      <c r="I671" s="211" t="s">
        <v>74</v>
      </c>
      <c r="J671" s="221" t="s">
        <v>90</v>
      </c>
      <c r="K671" s="218">
        <v>1</v>
      </c>
      <c r="L671" s="195" t="s">
        <v>39</v>
      </c>
      <c r="M671" s="204">
        <v>1</v>
      </c>
      <c r="N671" s="195" t="s">
        <v>50</v>
      </c>
      <c r="O671" s="219">
        <v>2</v>
      </c>
      <c r="P671" s="217" t="s">
        <v>41</v>
      </c>
      <c r="Q671" s="227">
        <f t="shared" ref="Q671:Q672" si="148">M671*O671</f>
        <v>2</v>
      </c>
      <c r="R671" s="229"/>
      <c r="S671" s="227">
        <f t="shared" ref="S671:S732" si="149">ROUND(Q671+R671,2)</f>
        <v>2</v>
      </c>
      <c r="T671" s="203" t="s">
        <v>42</v>
      </c>
      <c r="U671" s="183" t="str">
        <f t="shared" si="147"/>
        <v>2 Days</v>
      </c>
    </row>
    <row r="672" spans="3:21" s="172" customFormat="1" ht="20.25" customHeight="1">
      <c r="C672" s="185"/>
      <c r="D672" s="190">
        <f t="shared" si="138"/>
        <v>672</v>
      </c>
      <c r="E672" s="194" t="s">
        <v>91</v>
      </c>
      <c r="F672" s="198">
        <f>D671</f>
        <v>671</v>
      </c>
      <c r="G672" s="193" t="s">
        <v>55</v>
      </c>
      <c r="H672" s="193"/>
      <c r="I672" s="220" t="str">
        <f>I671</f>
        <v>145 t</v>
      </c>
      <c r="J672" s="221" t="s">
        <v>92</v>
      </c>
      <c r="K672" s="218">
        <v>1</v>
      </c>
      <c r="L672" s="195" t="s">
        <v>39</v>
      </c>
      <c r="M672" s="204">
        <v>1</v>
      </c>
      <c r="N672" s="195" t="s">
        <v>50</v>
      </c>
      <c r="O672" s="219">
        <v>5</v>
      </c>
      <c r="P672" s="217" t="s">
        <v>41</v>
      </c>
      <c r="Q672" s="227">
        <f t="shared" si="148"/>
        <v>5</v>
      </c>
      <c r="R672" s="229"/>
      <c r="S672" s="227">
        <f t="shared" si="149"/>
        <v>5</v>
      </c>
      <c r="T672" s="203" t="s">
        <v>42</v>
      </c>
      <c r="U672" s="183" t="str">
        <f t="shared" si="147"/>
        <v>5 Days</v>
      </c>
    </row>
    <row r="673" spans="3:21" s="172" customFormat="1" ht="20.25" customHeight="1">
      <c r="C673" s="185">
        <f>D673</f>
        <v>673</v>
      </c>
      <c r="D673" s="190">
        <f t="shared" si="138"/>
        <v>673</v>
      </c>
      <c r="E673" s="191" t="s">
        <v>93</v>
      </c>
      <c r="F673" s="197"/>
      <c r="G673" s="193"/>
      <c r="H673" s="193"/>
      <c r="I673" s="195"/>
      <c r="J673" s="195"/>
      <c r="K673" s="218"/>
      <c r="L673" s="195"/>
      <c r="M673" s="204"/>
      <c r="N673" s="195"/>
      <c r="O673" s="219"/>
      <c r="P673" s="217"/>
      <c r="Q673" s="227"/>
      <c r="R673" s="229"/>
      <c r="S673" s="227"/>
      <c r="T673" s="230"/>
      <c r="U673" s="183"/>
    </row>
    <row r="674" spans="3:21" s="172" customFormat="1" ht="20.25" customHeight="1">
      <c r="C674" s="185"/>
      <c r="D674" s="190">
        <f t="shared" si="138"/>
        <v>674</v>
      </c>
      <c r="E674" s="194" t="s">
        <v>94</v>
      </c>
      <c r="F674" s="198"/>
      <c r="G674" s="193" t="s">
        <v>55</v>
      </c>
      <c r="H674" s="193"/>
      <c r="I674" s="211" t="str">
        <f>I671</f>
        <v>145 t</v>
      </c>
      <c r="J674" s="195" t="str">
        <f>J664</f>
        <v>1308 holes</v>
      </c>
      <c r="K674" s="218">
        <v>1</v>
      </c>
      <c r="L674" s="195" t="s">
        <v>39</v>
      </c>
      <c r="M674" s="214">
        <f>LEFT(J674,SEARCH(" ",J674,1)-1)*LEFT(I674,SEARCH(" ",I674,1)-1)*K674/1000</f>
        <v>189.66</v>
      </c>
      <c r="N674" s="195" t="s">
        <v>79</v>
      </c>
      <c r="O674" s="216">
        <f>1/1.5^1</f>
        <v>0.66666666666666663</v>
      </c>
      <c r="P674" s="217" t="s">
        <v>47</v>
      </c>
      <c r="Q674" s="227">
        <f>M674*O674/24</f>
        <v>5.2683333333333335</v>
      </c>
      <c r="R674" s="229"/>
      <c r="S674" s="227">
        <f t="shared" si="149"/>
        <v>5.27</v>
      </c>
      <c r="T674" s="203" t="s">
        <v>42</v>
      </c>
      <c r="U674" s="183" t="str">
        <f t="shared" si="147"/>
        <v>5.27 Days</v>
      </c>
    </row>
    <row r="675" spans="3:21" s="172" customFormat="1" ht="20.25" customHeight="1">
      <c r="C675" s="185"/>
      <c r="D675" s="190">
        <f t="shared" si="138"/>
        <v>675</v>
      </c>
      <c r="E675" s="194" t="s">
        <v>688</v>
      </c>
      <c r="F675" s="198">
        <f>D674</f>
        <v>674</v>
      </c>
      <c r="G675" s="193" t="s">
        <v>55</v>
      </c>
      <c r="H675" s="193"/>
      <c r="I675" s="211" t="str">
        <f>I671</f>
        <v>145 t</v>
      </c>
      <c r="J675" s="195" t="str">
        <f>J674</f>
        <v>1308 holes</v>
      </c>
      <c r="K675" s="218">
        <v>1</v>
      </c>
      <c r="L675" s="195" t="s">
        <v>40</v>
      </c>
      <c r="M675" s="214" t="str">
        <f>LEFT(J675,SEARCH(" ",J675,1)-1)</f>
        <v>1308</v>
      </c>
      <c r="N675" s="195" t="s">
        <v>81</v>
      </c>
      <c r="O675" s="216">
        <f>1/60*5</f>
        <v>8.3333333333333329E-2</v>
      </c>
      <c r="P675" s="217" t="s">
        <v>47</v>
      </c>
      <c r="Q675" s="227">
        <f>M675*O675/24</f>
        <v>4.541666666666667</v>
      </c>
      <c r="R675" s="229"/>
      <c r="S675" s="227">
        <f t="shared" si="149"/>
        <v>4.54</v>
      </c>
      <c r="T675" s="203" t="s">
        <v>42</v>
      </c>
      <c r="U675" s="183" t="str">
        <f t="shared" si="147"/>
        <v>4.54 Days</v>
      </c>
    </row>
    <row r="676" spans="3:21" s="172" customFormat="1" ht="20.25" customHeight="1">
      <c r="C676" s="185"/>
      <c r="D676" s="190">
        <f t="shared" si="138"/>
        <v>676</v>
      </c>
      <c r="E676" s="194" t="s">
        <v>689</v>
      </c>
      <c r="F676" s="198">
        <f>D675</f>
        <v>675</v>
      </c>
      <c r="G676" s="193" t="s">
        <v>55</v>
      </c>
      <c r="H676" s="193"/>
      <c r="I676" s="211" t="str">
        <f>I671</f>
        <v>145 t</v>
      </c>
      <c r="J676" s="195"/>
      <c r="K676" s="218">
        <v>1</v>
      </c>
      <c r="L676" s="195" t="s">
        <v>83</v>
      </c>
      <c r="M676" s="222">
        <v>1</v>
      </c>
      <c r="N676" s="195" t="s">
        <v>84</v>
      </c>
      <c r="O676" s="216">
        <v>1</v>
      </c>
      <c r="P676" s="217" t="s">
        <v>41</v>
      </c>
      <c r="Q676" s="227">
        <f>M676*O676</f>
        <v>1</v>
      </c>
      <c r="R676" s="229"/>
      <c r="S676" s="227">
        <f t="shared" si="149"/>
        <v>1</v>
      </c>
      <c r="T676" s="203" t="s">
        <v>42</v>
      </c>
      <c r="U676" s="183" t="str">
        <f t="shared" si="147"/>
        <v>1 Days</v>
      </c>
    </row>
    <row r="677" spans="3:21" s="172" customFormat="1" ht="20.25" customHeight="1">
      <c r="C677" s="185"/>
      <c r="D677" s="190">
        <f t="shared" si="138"/>
        <v>677</v>
      </c>
      <c r="E677" s="194" t="s">
        <v>97</v>
      </c>
      <c r="F677" s="198">
        <f>D676</f>
        <v>676</v>
      </c>
      <c r="G677" s="193" t="s">
        <v>55</v>
      </c>
      <c r="H677" s="193"/>
      <c r="I677" s="211" t="str">
        <f>I671</f>
        <v>145 t</v>
      </c>
      <c r="J677" s="195"/>
      <c r="K677" s="218">
        <v>1</v>
      </c>
      <c r="L677" s="195" t="s">
        <v>83</v>
      </c>
      <c r="M677" s="204">
        <v>1</v>
      </c>
      <c r="N677" s="195" t="s">
        <v>84</v>
      </c>
      <c r="O677" s="219">
        <v>4</v>
      </c>
      <c r="P677" s="217" t="s">
        <v>41</v>
      </c>
      <c r="Q677" s="227">
        <f t="shared" ref="Q677:Q679" si="150">M677*O677</f>
        <v>4</v>
      </c>
      <c r="R677" s="229"/>
      <c r="S677" s="227">
        <f t="shared" si="149"/>
        <v>4</v>
      </c>
      <c r="T677" s="203" t="s">
        <v>42</v>
      </c>
      <c r="U677" s="183" t="str">
        <f t="shared" si="147"/>
        <v>4 Days</v>
      </c>
    </row>
    <row r="678" spans="3:21" s="172" customFormat="1" ht="20.25" customHeight="1">
      <c r="C678" s="185"/>
      <c r="D678" s="190">
        <f t="shared" si="138"/>
        <v>678</v>
      </c>
      <c r="E678" s="194" t="s">
        <v>98</v>
      </c>
      <c r="F678" s="198">
        <f>D677</f>
        <v>677</v>
      </c>
      <c r="G678" s="193" t="s">
        <v>44</v>
      </c>
      <c r="H678" s="193"/>
      <c r="I678" s="211" t="str">
        <f>I671</f>
        <v>145 t</v>
      </c>
      <c r="J678" s="195" t="str">
        <f>J675</f>
        <v>1308 holes</v>
      </c>
      <c r="K678" s="218">
        <v>1</v>
      </c>
      <c r="L678" s="195" t="s">
        <v>40</v>
      </c>
      <c r="M678" s="214" t="str">
        <f>LEFT(J678,SEARCH(" ",J678,1)-1)</f>
        <v>1308</v>
      </c>
      <c r="N678" s="195" t="s">
        <v>40</v>
      </c>
      <c r="O678" s="216">
        <f>1/60*3</f>
        <v>0.05</v>
      </c>
      <c r="P678" s="217" t="s">
        <v>87</v>
      </c>
      <c r="Q678" s="227">
        <f t="shared" si="150"/>
        <v>65.400000000000006</v>
      </c>
      <c r="R678" s="229"/>
      <c r="S678" s="227">
        <f t="shared" si="149"/>
        <v>65.400000000000006</v>
      </c>
      <c r="T678" s="230" t="s">
        <v>48</v>
      </c>
      <c r="U678" s="183" t="str">
        <f t="shared" si="147"/>
        <v>65.4 Hrs</v>
      </c>
    </row>
    <row r="679" spans="3:21" s="172" customFormat="1" ht="20.25" customHeight="1">
      <c r="C679" s="185"/>
      <c r="D679" s="190">
        <f t="shared" si="138"/>
        <v>679</v>
      </c>
      <c r="E679" s="194" t="s">
        <v>99</v>
      </c>
      <c r="F679" s="198">
        <f>D678</f>
        <v>678</v>
      </c>
      <c r="G679" s="193" t="s">
        <v>44</v>
      </c>
      <c r="H679" s="193"/>
      <c r="I679" s="195"/>
      <c r="J679" s="195"/>
      <c r="K679" s="218">
        <v>1</v>
      </c>
      <c r="L679" s="195"/>
      <c r="M679" s="214">
        <v>1050</v>
      </c>
      <c r="N679" s="195" t="s">
        <v>40</v>
      </c>
      <c r="O679" s="216">
        <f>1/60*3</f>
        <v>0.05</v>
      </c>
      <c r="P679" s="217" t="s">
        <v>53</v>
      </c>
      <c r="Q679" s="227">
        <f t="shared" si="150"/>
        <v>52.5</v>
      </c>
      <c r="R679" s="229">
        <v>1</v>
      </c>
      <c r="S679" s="227">
        <f t="shared" si="149"/>
        <v>53.5</v>
      </c>
      <c r="T679" s="230" t="s">
        <v>48</v>
      </c>
      <c r="U679" s="183" t="str">
        <f t="shared" si="147"/>
        <v>53.5 Hrs</v>
      </c>
    </row>
    <row r="680" spans="3:21" s="172" customFormat="1" ht="20.25" customHeight="1">
      <c r="C680" s="185">
        <f t="shared" ref="C680:C681" si="151">D680</f>
        <v>680</v>
      </c>
      <c r="D680" s="190">
        <f t="shared" si="138"/>
        <v>680</v>
      </c>
      <c r="E680" s="191" t="s">
        <v>100</v>
      </c>
      <c r="F680" s="197"/>
      <c r="G680" s="195"/>
      <c r="H680" s="195"/>
      <c r="I680" s="195"/>
      <c r="J680" s="195"/>
      <c r="K680" s="221"/>
      <c r="L680" s="195"/>
      <c r="M680" s="204"/>
      <c r="N680" s="195"/>
      <c r="O680" s="205"/>
      <c r="P680" s="195"/>
      <c r="Q680" s="227"/>
      <c r="R680" s="226"/>
      <c r="S680" s="227"/>
      <c r="T680" s="203"/>
      <c r="U680" s="183"/>
    </row>
    <row r="681" spans="3:21" s="172" customFormat="1" ht="20.25" customHeight="1">
      <c r="C681" s="185">
        <f t="shared" si="151"/>
        <v>681</v>
      </c>
      <c r="D681" s="190">
        <f t="shared" si="138"/>
        <v>681</v>
      </c>
      <c r="E681" s="191" t="s">
        <v>101</v>
      </c>
      <c r="F681" s="197">
        <f>D1099</f>
        <v>1099</v>
      </c>
      <c r="G681" s="193"/>
      <c r="H681" s="193"/>
      <c r="I681" s="195"/>
      <c r="J681" s="195"/>
      <c r="K681" s="221"/>
      <c r="L681" s="195"/>
      <c r="M681" s="204"/>
      <c r="N681" s="195"/>
      <c r="O681" s="205"/>
      <c r="P681" s="195"/>
      <c r="Q681" s="227"/>
      <c r="R681" s="226"/>
      <c r="S681" s="227"/>
      <c r="T681" s="203"/>
      <c r="U681" s="183"/>
    </row>
    <row r="682" spans="3:21" s="172" customFormat="1" ht="20.25" customHeight="1">
      <c r="C682" s="185"/>
      <c r="D682" s="190">
        <f t="shared" si="138"/>
        <v>682</v>
      </c>
      <c r="E682" s="231" t="s">
        <v>102</v>
      </c>
      <c r="F682" s="198"/>
      <c r="G682" s="193" t="s">
        <v>44</v>
      </c>
      <c r="H682" s="193"/>
      <c r="I682" s="211" t="s">
        <v>103</v>
      </c>
      <c r="J682" s="195"/>
      <c r="K682" s="221">
        <v>2</v>
      </c>
      <c r="L682" s="195" t="s">
        <v>81</v>
      </c>
      <c r="M682" s="204">
        <f>K682</f>
        <v>2</v>
      </c>
      <c r="N682" s="195" t="s">
        <v>81</v>
      </c>
      <c r="O682" s="205">
        <v>1</v>
      </c>
      <c r="P682" s="217" t="s">
        <v>87</v>
      </c>
      <c r="Q682" s="227">
        <f t="shared" ref="Q682:Q684" si="152">M682*O682</f>
        <v>2</v>
      </c>
      <c r="R682" s="226">
        <v>1</v>
      </c>
      <c r="S682" s="227">
        <f t="shared" si="149"/>
        <v>3</v>
      </c>
      <c r="T682" s="230" t="s">
        <v>48</v>
      </c>
      <c r="U682" s="183" t="str">
        <f t="shared" si="147"/>
        <v>3 Hrs</v>
      </c>
    </row>
    <row r="683" spans="3:21" s="172" customFormat="1" ht="20.25" customHeight="1">
      <c r="C683" s="185"/>
      <c r="D683" s="190">
        <f t="shared" si="138"/>
        <v>683</v>
      </c>
      <c r="E683" s="231" t="s">
        <v>104</v>
      </c>
      <c r="F683" s="198">
        <f>D682</f>
        <v>682</v>
      </c>
      <c r="G683" s="193" t="s">
        <v>44</v>
      </c>
      <c r="H683" s="193"/>
      <c r="I683" s="211" t="s">
        <v>105</v>
      </c>
      <c r="J683" s="195"/>
      <c r="K683" s="221">
        <v>2</v>
      </c>
      <c r="L683" s="195" t="s">
        <v>81</v>
      </c>
      <c r="M683" s="204">
        <f>K683</f>
        <v>2</v>
      </c>
      <c r="N683" s="195" t="s">
        <v>81</v>
      </c>
      <c r="O683" s="205">
        <v>1</v>
      </c>
      <c r="P683" s="217" t="s">
        <v>87</v>
      </c>
      <c r="Q683" s="227">
        <f t="shared" si="152"/>
        <v>2</v>
      </c>
      <c r="R683" s="226">
        <v>1</v>
      </c>
      <c r="S683" s="227">
        <f t="shared" si="149"/>
        <v>3</v>
      </c>
      <c r="T683" s="230" t="s">
        <v>48</v>
      </c>
      <c r="U683" s="183" t="str">
        <f t="shared" si="147"/>
        <v>3 Hrs</v>
      </c>
    </row>
    <row r="684" spans="3:21" s="172" customFormat="1" ht="20.25" customHeight="1">
      <c r="C684" s="185"/>
      <c r="D684" s="190">
        <f t="shared" si="138"/>
        <v>684</v>
      </c>
      <c r="E684" s="231" t="s">
        <v>106</v>
      </c>
      <c r="F684" s="198">
        <f>D683</f>
        <v>683</v>
      </c>
      <c r="G684" s="193" t="s">
        <v>44</v>
      </c>
      <c r="H684" s="193"/>
      <c r="I684" s="195"/>
      <c r="J684" s="195"/>
      <c r="K684" s="221">
        <f>K683+K682</f>
        <v>4</v>
      </c>
      <c r="L684" s="195" t="s">
        <v>81</v>
      </c>
      <c r="M684" s="204">
        <f>K684</f>
        <v>4</v>
      </c>
      <c r="N684" s="195" t="s">
        <v>81</v>
      </c>
      <c r="O684" s="205">
        <v>0.5</v>
      </c>
      <c r="P684" s="217" t="s">
        <v>87</v>
      </c>
      <c r="Q684" s="227">
        <f t="shared" si="152"/>
        <v>2</v>
      </c>
      <c r="R684" s="226">
        <v>1</v>
      </c>
      <c r="S684" s="227">
        <f t="shared" si="149"/>
        <v>3</v>
      </c>
      <c r="T684" s="230" t="s">
        <v>48</v>
      </c>
      <c r="U684" s="183" t="str">
        <f t="shared" si="147"/>
        <v>3 Hrs</v>
      </c>
    </row>
    <row r="685" spans="3:21" s="172" customFormat="1" ht="20.25" customHeight="1">
      <c r="C685" s="185">
        <f>D685</f>
        <v>685</v>
      </c>
      <c r="D685" s="190">
        <f t="shared" si="138"/>
        <v>685</v>
      </c>
      <c r="E685" s="191" t="s">
        <v>107</v>
      </c>
      <c r="F685" s="197">
        <f>D681</f>
        <v>681</v>
      </c>
      <c r="G685" s="193"/>
      <c r="H685" s="193"/>
      <c r="I685" s="195"/>
      <c r="J685" s="195"/>
      <c r="K685" s="221"/>
      <c r="L685" s="195"/>
      <c r="M685" s="204"/>
      <c r="N685" s="195"/>
      <c r="O685" s="205"/>
      <c r="P685" s="195"/>
      <c r="Q685" s="227"/>
      <c r="R685" s="226"/>
      <c r="S685" s="227"/>
      <c r="T685" s="203"/>
      <c r="U685" s="183"/>
    </row>
    <row r="686" spans="3:21" s="172" customFormat="1" ht="20.25" customHeight="1">
      <c r="C686" s="185"/>
      <c r="D686" s="190">
        <f t="shared" si="138"/>
        <v>686</v>
      </c>
      <c r="E686" s="232" t="s">
        <v>102</v>
      </c>
      <c r="F686" s="198"/>
      <c r="G686" s="193" t="s">
        <v>52</v>
      </c>
      <c r="H686" s="193"/>
      <c r="I686" s="211" t="str">
        <f>I682</f>
        <v>26" nb</v>
      </c>
      <c r="J686" s="195"/>
      <c r="K686" s="221">
        <f>K682</f>
        <v>2</v>
      </c>
      <c r="L686" s="195" t="s">
        <v>81</v>
      </c>
      <c r="M686" s="204">
        <f>K686</f>
        <v>2</v>
      </c>
      <c r="N686" s="195" t="s">
        <v>81</v>
      </c>
      <c r="O686" s="205">
        <v>0</v>
      </c>
      <c r="P686" s="217" t="s">
        <v>87</v>
      </c>
      <c r="Q686" s="227">
        <f t="shared" ref="Q686:Q688" si="153">M686*O686</f>
        <v>0</v>
      </c>
      <c r="R686" s="226">
        <v>0</v>
      </c>
      <c r="S686" s="227"/>
      <c r="T686" s="230" t="s">
        <v>48</v>
      </c>
      <c r="U686" s="183"/>
    </row>
    <row r="687" spans="3:21" s="172" customFormat="1" ht="20.25" customHeight="1">
      <c r="C687" s="185"/>
      <c r="D687" s="190">
        <f t="shared" si="138"/>
        <v>687</v>
      </c>
      <c r="E687" s="232" t="s">
        <v>104</v>
      </c>
      <c r="F687" s="198">
        <f>D686</f>
        <v>686</v>
      </c>
      <c r="G687" s="193" t="s">
        <v>52</v>
      </c>
      <c r="H687" s="193"/>
      <c r="I687" s="211" t="str">
        <f>I683</f>
        <v>2"nb</v>
      </c>
      <c r="J687" s="195"/>
      <c r="K687" s="221">
        <f>K683</f>
        <v>2</v>
      </c>
      <c r="L687" s="195" t="s">
        <v>81</v>
      </c>
      <c r="M687" s="204">
        <f>K687</f>
        <v>2</v>
      </c>
      <c r="N687" s="195" t="s">
        <v>81</v>
      </c>
      <c r="O687" s="205">
        <v>0</v>
      </c>
      <c r="P687" s="217" t="s">
        <v>87</v>
      </c>
      <c r="Q687" s="227">
        <f t="shared" si="153"/>
        <v>0</v>
      </c>
      <c r="R687" s="226">
        <v>0</v>
      </c>
      <c r="S687" s="227"/>
      <c r="T687" s="230" t="s">
        <v>48</v>
      </c>
      <c r="U687" s="183"/>
    </row>
    <row r="688" spans="3:21" s="172" customFormat="1" ht="20.25" customHeight="1">
      <c r="C688" s="185"/>
      <c r="D688" s="190">
        <f t="shared" si="138"/>
        <v>688</v>
      </c>
      <c r="E688" s="232" t="s">
        <v>106</v>
      </c>
      <c r="F688" s="198">
        <f>D687</f>
        <v>687</v>
      </c>
      <c r="G688" s="193" t="s">
        <v>52</v>
      </c>
      <c r="H688" s="193"/>
      <c r="I688" s="195"/>
      <c r="J688" s="195"/>
      <c r="K688" s="221">
        <f>K687+K686</f>
        <v>4</v>
      </c>
      <c r="L688" s="195" t="s">
        <v>81</v>
      </c>
      <c r="M688" s="204">
        <f>K688</f>
        <v>4</v>
      </c>
      <c r="N688" s="195" t="s">
        <v>81</v>
      </c>
      <c r="O688" s="205">
        <v>0</v>
      </c>
      <c r="P688" s="217" t="s">
        <v>87</v>
      </c>
      <c r="Q688" s="227">
        <f t="shared" si="153"/>
        <v>0</v>
      </c>
      <c r="R688" s="226">
        <v>0</v>
      </c>
      <c r="S688" s="227"/>
      <c r="T688" s="230" t="s">
        <v>48</v>
      </c>
      <c r="U688" s="183"/>
    </row>
    <row r="689" spans="3:21" s="172" customFormat="1" ht="20.25" customHeight="1">
      <c r="C689" s="185">
        <f>D689</f>
        <v>689</v>
      </c>
      <c r="D689" s="190">
        <f t="shared" si="138"/>
        <v>689</v>
      </c>
      <c r="E689" s="191" t="s">
        <v>108</v>
      </c>
      <c r="F689" s="197">
        <f>D685</f>
        <v>685</v>
      </c>
      <c r="G689" s="193"/>
      <c r="H689" s="193"/>
      <c r="I689" s="195"/>
      <c r="J689" s="195"/>
      <c r="K689" s="221"/>
      <c r="L689" s="195"/>
      <c r="M689" s="204"/>
      <c r="N689" s="195"/>
      <c r="O689" s="205"/>
      <c r="P689" s="195"/>
      <c r="Q689" s="227"/>
      <c r="R689" s="226"/>
      <c r="S689" s="227"/>
      <c r="T689" s="203"/>
      <c r="U689" s="183"/>
    </row>
    <row r="690" spans="3:21" s="172" customFormat="1" ht="20.25" customHeight="1">
      <c r="C690" s="185"/>
      <c r="D690" s="190">
        <f t="shared" si="138"/>
        <v>690</v>
      </c>
      <c r="E690" s="231" t="s">
        <v>102</v>
      </c>
      <c r="F690" s="198"/>
      <c r="G690" s="193" t="s">
        <v>52</v>
      </c>
      <c r="H690" s="193"/>
      <c r="I690" s="211" t="str">
        <f>I682</f>
        <v>26" nb</v>
      </c>
      <c r="J690" s="195"/>
      <c r="K690" s="221">
        <f>K682</f>
        <v>2</v>
      </c>
      <c r="L690" s="195" t="s">
        <v>81</v>
      </c>
      <c r="M690" s="204">
        <v>2</v>
      </c>
      <c r="N690" s="195" t="s">
        <v>81</v>
      </c>
      <c r="O690" s="205">
        <v>4</v>
      </c>
      <c r="P690" s="195"/>
      <c r="Q690" s="227">
        <f t="shared" ref="Q690:Q692" si="154">M690*O690</f>
        <v>8</v>
      </c>
      <c r="R690" s="226">
        <v>0</v>
      </c>
      <c r="S690" s="227">
        <f t="shared" si="149"/>
        <v>8</v>
      </c>
      <c r="T690" s="230" t="s">
        <v>48</v>
      </c>
      <c r="U690" s="183" t="str">
        <f t="shared" si="147"/>
        <v>8 Hrs</v>
      </c>
    </row>
    <row r="691" spans="3:21" s="172" customFormat="1" ht="20.25" customHeight="1">
      <c r="C691" s="185"/>
      <c r="D691" s="190">
        <f t="shared" si="138"/>
        <v>691</v>
      </c>
      <c r="E691" s="231" t="s">
        <v>104</v>
      </c>
      <c r="F691" s="198">
        <f>D690</f>
        <v>690</v>
      </c>
      <c r="G691" s="193" t="s">
        <v>52</v>
      </c>
      <c r="H691" s="193"/>
      <c r="I691" s="211" t="str">
        <f>I683</f>
        <v>2"nb</v>
      </c>
      <c r="J691" s="195"/>
      <c r="K691" s="221">
        <f>K683</f>
        <v>2</v>
      </c>
      <c r="L691" s="195" t="s">
        <v>81</v>
      </c>
      <c r="M691" s="204">
        <v>2</v>
      </c>
      <c r="N691" s="195" t="s">
        <v>81</v>
      </c>
      <c r="O691" s="205">
        <v>0</v>
      </c>
      <c r="P691" s="195"/>
      <c r="Q691" s="227">
        <f t="shared" si="154"/>
        <v>0</v>
      </c>
      <c r="R691" s="226">
        <v>0</v>
      </c>
      <c r="S691" s="227"/>
      <c r="T691" s="230" t="s">
        <v>48</v>
      </c>
      <c r="U691" s="183"/>
    </row>
    <row r="692" spans="3:21" s="172" customFormat="1" ht="20.25" customHeight="1">
      <c r="C692" s="185"/>
      <c r="D692" s="190">
        <f t="shared" si="138"/>
        <v>692</v>
      </c>
      <c r="E692" s="231" t="s">
        <v>109</v>
      </c>
      <c r="F692" s="198">
        <f>D691</f>
        <v>691</v>
      </c>
      <c r="G692" s="193" t="s">
        <v>52</v>
      </c>
      <c r="H692" s="193"/>
      <c r="I692" s="195"/>
      <c r="J692" s="195"/>
      <c r="K692" s="221">
        <f>K691+K690</f>
        <v>4</v>
      </c>
      <c r="L692" s="195" t="s">
        <v>81</v>
      </c>
      <c r="M692" s="204">
        <v>4</v>
      </c>
      <c r="N692" s="195" t="s">
        <v>81</v>
      </c>
      <c r="O692" s="205">
        <v>0</v>
      </c>
      <c r="P692" s="195"/>
      <c r="Q692" s="227">
        <f t="shared" si="154"/>
        <v>0</v>
      </c>
      <c r="R692" s="226">
        <v>0</v>
      </c>
      <c r="S692" s="227"/>
      <c r="T692" s="230" t="s">
        <v>48</v>
      </c>
      <c r="U692" s="183"/>
    </row>
    <row r="693" spans="3:21" s="172" customFormat="1" ht="20.25" customHeight="1">
      <c r="C693" s="185">
        <f>D693</f>
        <v>693</v>
      </c>
      <c r="D693" s="190">
        <f t="shared" si="138"/>
        <v>693</v>
      </c>
      <c r="E693" s="191" t="s">
        <v>110</v>
      </c>
      <c r="F693" s="197">
        <f>D689</f>
        <v>689</v>
      </c>
      <c r="G693" s="193"/>
      <c r="H693" s="193"/>
      <c r="I693" s="195"/>
      <c r="J693" s="195"/>
      <c r="K693" s="221"/>
      <c r="L693" s="195"/>
      <c r="M693" s="204"/>
      <c r="N693" s="195"/>
      <c r="O693" s="205"/>
      <c r="P693" s="195"/>
      <c r="Q693" s="227"/>
      <c r="R693" s="226"/>
      <c r="S693" s="227"/>
      <c r="T693" s="203"/>
      <c r="U693" s="183"/>
    </row>
    <row r="694" spans="3:21" s="172" customFormat="1" ht="20.25" customHeight="1">
      <c r="C694" s="185"/>
      <c r="D694" s="190">
        <f t="shared" si="138"/>
        <v>694</v>
      </c>
      <c r="E694" s="232" t="s">
        <v>102</v>
      </c>
      <c r="F694" s="198"/>
      <c r="G694" s="193" t="s">
        <v>111</v>
      </c>
      <c r="H694" s="193"/>
      <c r="I694" s="211" t="str">
        <f>I682</f>
        <v>26" nb</v>
      </c>
      <c r="J694" s="195"/>
      <c r="K694" s="221">
        <v>2</v>
      </c>
      <c r="L694" s="195" t="s">
        <v>50</v>
      </c>
      <c r="M694" s="204">
        <v>2</v>
      </c>
      <c r="N694" s="195" t="s">
        <v>50</v>
      </c>
      <c r="O694" s="205">
        <v>4</v>
      </c>
      <c r="P694" s="195" t="s">
        <v>112</v>
      </c>
      <c r="Q694" s="227">
        <f t="shared" ref="Q694:Q696" si="155">M694*O694</f>
        <v>8</v>
      </c>
      <c r="R694" s="226">
        <v>1</v>
      </c>
      <c r="S694" s="227">
        <f t="shared" si="149"/>
        <v>9</v>
      </c>
      <c r="T694" s="230" t="s">
        <v>48</v>
      </c>
      <c r="U694" s="183" t="str">
        <f t="shared" si="147"/>
        <v>9 Hrs</v>
      </c>
    </row>
    <row r="695" spans="3:21" s="172" customFormat="1" ht="20.25" customHeight="1">
      <c r="C695" s="185"/>
      <c r="D695" s="190">
        <f t="shared" si="138"/>
        <v>695</v>
      </c>
      <c r="E695" s="232" t="s">
        <v>104</v>
      </c>
      <c r="F695" s="198">
        <f>D694</f>
        <v>694</v>
      </c>
      <c r="G695" s="193" t="s">
        <v>111</v>
      </c>
      <c r="H695" s="193"/>
      <c r="I695" s="211" t="str">
        <f>I683</f>
        <v>2"nb</v>
      </c>
      <c r="J695" s="195"/>
      <c r="K695" s="221">
        <v>2</v>
      </c>
      <c r="L695" s="195" t="s">
        <v>50</v>
      </c>
      <c r="M695" s="204">
        <v>2</v>
      </c>
      <c r="N695" s="195" t="s">
        <v>50</v>
      </c>
      <c r="O695" s="205">
        <v>0</v>
      </c>
      <c r="P695" s="195" t="s">
        <v>112</v>
      </c>
      <c r="Q695" s="227">
        <f t="shared" si="155"/>
        <v>0</v>
      </c>
      <c r="R695" s="226">
        <v>1</v>
      </c>
      <c r="S695" s="227">
        <f t="shared" si="149"/>
        <v>1</v>
      </c>
      <c r="T695" s="230" t="s">
        <v>48</v>
      </c>
      <c r="U695" s="183" t="str">
        <f t="shared" si="147"/>
        <v>1 Hrs</v>
      </c>
    </row>
    <row r="696" spans="3:21" s="172" customFormat="1" ht="20.25" customHeight="1">
      <c r="C696" s="185"/>
      <c r="D696" s="190">
        <f t="shared" si="138"/>
        <v>696</v>
      </c>
      <c r="E696" s="232" t="s">
        <v>113</v>
      </c>
      <c r="F696" s="198">
        <f>D695</f>
        <v>695</v>
      </c>
      <c r="G696" s="193" t="s">
        <v>111</v>
      </c>
      <c r="H696" s="193"/>
      <c r="I696" s="195"/>
      <c r="J696" s="195"/>
      <c r="K696" s="221">
        <v>4</v>
      </c>
      <c r="L696" s="195" t="s">
        <v>50</v>
      </c>
      <c r="M696" s="204">
        <v>4</v>
      </c>
      <c r="N696" s="195" t="s">
        <v>50</v>
      </c>
      <c r="O696" s="205">
        <v>0.25</v>
      </c>
      <c r="P696" s="195" t="s">
        <v>112</v>
      </c>
      <c r="Q696" s="227">
        <f t="shared" si="155"/>
        <v>1</v>
      </c>
      <c r="R696" s="226">
        <v>1</v>
      </c>
      <c r="S696" s="227">
        <f t="shared" si="149"/>
        <v>2</v>
      </c>
      <c r="T696" s="230" t="s">
        <v>48</v>
      </c>
      <c r="U696" s="183" t="str">
        <f t="shared" si="147"/>
        <v>2 Hrs</v>
      </c>
    </row>
    <row r="697" spans="3:21" s="172" customFormat="1" ht="20.25" customHeight="1">
      <c r="C697" s="185">
        <f>D697</f>
        <v>697</v>
      </c>
      <c r="D697" s="190">
        <f t="shared" si="138"/>
        <v>697</v>
      </c>
      <c r="E697" s="191" t="s">
        <v>114</v>
      </c>
      <c r="F697" s="197">
        <f>D693</f>
        <v>693</v>
      </c>
      <c r="G697" s="193"/>
      <c r="H697" s="193"/>
      <c r="I697" s="195"/>
      <c r="J697" s="195"/>
      <c r="K697" s="221"/>
      <c r="L697" s="195"/>
      <c r="M697" s="204"/>
      <c r="N697" s="195"/>
      <c r="O697" s="205"/>
      <c r="P697" s="195"/>
      <c r="Q697" s="227"/>
      <c r="R697" s="226"/>
      <c r="S697" s="227"/>
      <c r="T697" s="203"/>
      <c r="U697" s="183"/>
    </row>
    <row r="698" spans="3:21" s="172" customFormat="1" ht="20.25" customHeight="1">
      <c r="C698" s="185"/>
      <c r="D698" s="190">
        <f t="shared" si="138"/>
        <v>698</v>
      </c>
      <c r="E698" s="231" t="s">
        <v>102</v>
      </c>
      <c r="F698" s="198"/>
      <c r="G698" s="193" t="s">
        <v>115</v>
      </c>
      <c r="H698" s="193"/>
      <c r="I698" s="211" t="s">
        <v>116</v>
      </c>
      <c r="J698" s="221" t="s">
        <v>117</v>
      </c>
      <c r="K698" s="221">
        <v>2</v>
      </c>
      <c r="L698" s="195" t="s">
        <v>50</v>
      </c>
      <c r="M698" s="214">
        <f>LEFT(J698,SEARCH(" ",J698,1)-1)*K698*0.001</f>
        <v>6.1080000000000005</v>
      </c>
      <c r="N698" s="195" t="s">
        <v>50</v>
      </c>
      <c r="O698" s="233">
        <f>6.12</f>
        <v>6.12</v>
      </c>
      <c r="P698" s="195" t="s">
        <v>112</v>
      </c>
      <c r="Q698" s="227">
        <f>M698*O698</f>
        <v>37.380960000000002</v>
      </c>
      <c r="R698" s="226">
        <v>1</v>
      </c>
      <c r="S698" s="227">
        <f t="shared" si="149"/>
        <v>38.380000000000003</v>
      </c>
      <c r="T698" s="230" t="s">
        <v>48</v>
      </c>
      <c r="U698" s="183" t="str">
        <f t="shared" si="147"/>
        <v>38.38 Hrs</v>
      </c>
    </row>
    <row r="699" spans="3:21" s="172" customFormat="1" ht="20.25" customHeight="1">
      <c r="C699" s="185"/>
      <c r="D699" s="190">
        <f t="shared" si="138"/>
        <v>699</v>
      </c>
      <c r="E699" s="231" t="s">
        <v>104</v>
      </c>
      <c r="F699" s="198">
        <f>D698</f>
        <v>698</v>
      </c>
      <c r="G699" s="193" t="s">
        <v>115</v>
      </c>
      <c r="H699" s="193"/>
      <c r="I699" s="211" t="str">
        <f>I687</f>
        <v>2"nb</v>
      </c>
      <c r="J699" s="221" t="s">
        <v>118</v>
      </c>
      <c r="K699" s="221">
        <v>2</v>
      </c>
      <c r="L699" s="195" t="s">
        <v>50</v>
      </c>
      <c r="M699" s="204">
        <v>0</v>
      </c>
      <c r="N699" s="195" t="s">
        <v>50</v>
      </c>
      <c r="O699" s="233"/>
      <c r="P699" s="195" t="s">
        <v>112</v>
      </c>
      <c r="Q699" s="227">
        <f t="shared" ref="Q699:Q700" si="156">M699*O699</f>
        <v>0</v>
      </c>
      <c r="R699" s="226"/>
      <c r="S699" s="227"/>
      <c r="T699" s="230" t="s">
        <v>48</v>
      </c>
      <c r="U699" s="183"/>
    </row>
    <row r="700" spans="3:21" s="172" customFormat="1" ht="20.25" customHeight="1">
      <c r="C700" s="185"/>
      <c r="D700" s="190">
        <f t="shared" si="138"/>
        <v>700</v>
      </c>
      <c r="E700" s="231" t="s">
        <v>109</v>
      </c>
      <c r="F700" s="198">
        <f>D699</f>
        <v>699</v>
      </c>
      <c r="G700" s="193" t="s">
        <v>115</v>
      </c>
      <c r="H700" s="193"/>
      <c r="I700" s="195"/>
      <c r="J700" s="195"/>
      <c r="K700" s="221">
        <v>4</v>
      </c>
      <c r="L700" s="195" t="s">
        <v>50</v>
      </c>
      <c r="M700" s="204">
        <v>4</v>
      </c>
      <c r="N700" s="195" t="s">
        <v>50</v>
      </c>
      <c r="O700" s="205">
        <v>0.25</v>
      </c>
      <c r="P700" s="195" t="s">
        <v>112</v>
      </c>
      <c r="Q700" s="227">
        <f t="shared" si="156"/>
        <v>1</v>
      </c>
      <c r="R700" s="226">
        <v>1</v>
      </c>
      <c r="S700" s="227">
        <f t="shared" si="149"/>
        <v>2</v>
      </c>
      <c r="T700" s="230" t="s">
        <v>48</v>
      </c>
      <c r="U700" s="183" t="str">
        <f t="shared" si="147"/>
        <v>2 Hrs</v>
      </c>
    </row>
    <row r="701" spans="3:21" s="172" customFormat="1" ht="20.25" customHeight="1">
      <c r="C701" s="185">
        <f>D701</f>
        <v>701</v>
      </c>
      <c r="D701" s="190">
        <f t="shared" si="138"/>
        <v>701</v>
      </c>
      <c r="E701" s="191" t="s">
        <v>119</v>
      </c>
      <c r="F701" s="197">
        <f>D697</f>
        <v>697</v>
      </c>
      <c r="G701" s="193"/>
      <c r="H701" s="193"/>
      <c r="I701" s="195"/>
      <c r="J701" s="195"/>
      <c r="K701" s="221"/>
      <c r="L701" s="195"/>
      <c r="M701" s="204"/>
      <c r="N701" s="195"/>
      <c r="O701" s="205"/>
      <c r="P701" s="195"/>
      <c r="Q701" s="227"/>
      <c r="R701" s="226"/>
      <c r="S701" s="227"/>
      <c r="T701" s="203"/>
      <c r="U701" s="183"/>
    </row>
    <row r="702" spans="3:21" s="172" customFormat="1" ht="20.25" customHeight="1">
      <c r="C702" s="185"/>
      <c r="D702" s="190">
        <f t="shared" si="138"/>
        <v>702</v>
      </c>
      <c r="E702" s="232" t="s">
        <v>102</v>
      </c>
      <c r="F702" s="198"/>
      <c r="G702" s="193" t="s">
        <v>44</v>
      </c>
      <c r="H702" s="193"/>
      <c r="I702" s="211" t="str">
        <f>I690</f>
        <v>26" nb</v>
      </c>
      <c r="J702" s="195"/>
      <c r="K702" s="221">
        <v>2</v>
      </c>
      <c r="L702" s="195" t="s">
        <v>50</v>
      </c>
      <c r="M702" s="204">
        <v>1</v>
      </c>
      <c r="N702" s="195" t="s">
        <v>50</v>
      </c>
      <c r="O702" s="233">
        <v>4</v>
      </c>
      <c r="P702" s="195" t="s">
        <v>112</v>
      </c>
      <c r="Q702" s="227">
        <f t="shared" ref="Q702:Q704" si="157">M702*O702</f>
        <v>4</v>
      </c>
      <c r="R702" s="226">
        <v>1</v>
      </c>
      <c r="S702" s="227">
        <f t="shared" si="149"/>
        <v>5</v>
      </c>
      <c r="T702" s="230" t="s">
        <v>48</v>
      </c>
      <c r="U702" s="183" t="str">
        <f t="shared" si="147"/>
        <v>5 Hrs</v>
      </c>
    </row>
    <row r="703" spans="3:21" s="172" customFormat="1" ht="20.25" customHeight="1">
      <c r="C703" s="185"/>
      <c r="D703" s="190">
        <f t="shared" si="138"/>
        <v>703</v>
      </c>
      <c r="E703" s="232" t="s">
        <v>104</v>
      </c>
      <c r="F703" s="198">
        <f>D702</f>
        <v>702</v>
      </c>
      <c r="G703" s="193" t="s">
        <v>44</v>
      </c>
      <c r="H703" s="193"/>
      <c r="I703" s="211" t="str">
        <f>I691</f>
        <v>2"nb</v>
      </c>
      <c r="J703" s="195"/>
      <c r="K703" s="221">
        <v>2</v>
      </c>
      <c r="L703" s="195" t="s">
        <v>50</v>
      </c>
      <c r="M703" s="204">
        <v>1</v>
      </c>
      <c r="N703" s="195" t="s">
        <v>50</v>
      </c>
      <c r="O703" s="233">
        <v>1</v>
      </c>
      <c r="P703" s="195" t="s">
        <v>112</v>
      </c>
      <c r="Q703" s="227">
        <f t="shared" si="157"/>
        <v>1</v>
      </c>
      <c r="R703" s="226">
        <v>1</v>
      </c>
      <c r="S703" s="227">
        <f t="shared" si="149"/>
        <v>2</v>
      </c>
      <c r="T703" s="230" t="s">
        <v>48</v>
      </c>
      <c r="U703" s="183" t="str">
        <f t="shared" si="147"/>
        <v>2 Hrs</v>
      </c>
    </row>
    <row r="704" spans="3:21" s="172" customFormat="1" ht="20.25" customHeight="1">
      <c r="C704" s="185"/>
      <c r="D704" s="190">
        <f t="shared" si="138"/>
        <v>704</v>
      </c>
      <c r="E704" s="232" t="s">
        <v>109</v>
      </c>
      <c r="F704" s="198">
        <f>D703</f>
        <v>703</v>
      </c>
      <c r="G704" s="193" t="s">
        <v>44</v>
      </c>
      <c r="H704" s="193"/>
      <c r="I704" s="195"/>
      <c r="J704" s="195"/>
      <c r="K704" s="221">
        <v>4</v>
      </c>
      <c r="L704" s="195" t="s">
        <v>50</v>
      </c>
      <c r="M704" s="204">
        <v>1</v>
      </c>
      <c r="N704" s="195" t="s">
        <v>50</v>
      </c>
      <c r="O704" s="205">
        <v>1</v>
      </c>
      <c r="P704" s="195" t="s">
        <v>112</v>
      </c>
      <c r="Q704" s="227">
        <f t="shared" si="157"/>
        <v>1</v>
      </c>
      <c r="R704" s="226">
        <v>1</v>
      </c>
      <c r="S704" s="227">
        <f t="shared" si="149"/>
        <v>2</v>
      </c>
      <c r="T704" s="230" t="s">
        <v>48</v>
      </c>
      <c r="U704" s="183" t="str">
        <f t="shared" si="147"/>
        <v>2 Hrs</v>
      </c>
    </row>
    <row r="705" spans="3:21" s="172" customFormat="1" ht="20.25" customHeight="1">
      <c r="C705" s="185">
        <f>D705</f>
        <v>705</v>
      </c>
      <c r="D705" s="190">
        <f t="shared" si="138"/>
        <v>705</v>
      </c>
      <c r="E705" s="191" t="s">
        <v>690</v>
      </c>
      <c r="F705" s="197">
        <f>D701</f>
        <v>701</v>
      </c>
      <c r="G705" s="193"/>
      <c r="H705" s="193"/>
      <c r="I705" s="195"/>
      <c r="J705" s="195"/>
      <c r="K705" s="221"/>
      <c r="L705" s="195"/>
      <c r="M705" s="204"/>
      <c r="N705" s="195"/>
      <c r="O705" s="205"/>
      <c r="P705" s="195"/>
      <c r="Q705" s="227"/>
      <c r="R705" s="226"/>
      <c r="S705" s="227"/>
      <c r="T705" s="203"/>
      <c r="U705" s="183"/>
    </row>
    <row r="706" spans="3:21" s="172" customFormat="1" ht="20.25" customHeight="1">
      <c r="C706" s="185"/>
      <c r="D706" s="190">
        <f t="shared" si="138"/>
        <v>706</v>
      </c>
      <c r="E706" s="231" t="s">
        <v>102</v>
      </c>
      <c r="F706" s="198"/>
      <c r="G706" s="193" t="s">
        <v>121</v>
      </c>
      <c r="H706" s="193"/>
      <c r="I706" s="211" t="str">
        <f>I694</f>
        <v>26" nb</v>
      </c>
      <c r="J706" s="195"/>
      <c r="K706" s="221">
        <v>2</v>
      </c>
      <c r="L706" s="195" t="s">
        <v>50</v>
      </c>
      <c r="M706" s="204">
        <v>0</v>
      </c>
      <c r="N706" s="195" t="s">
        <v>50</v>
      </c>
      <c r="O706" s="233"/>
      <c r="P706" s="195" t="s">
        <v>112</v>
      </c>
      <c r="Q706" s="227">
        <f t="shared" ref="Q706:Q708" si="158">M706*O706</f>
        <v>0</v>
      </c>
      <c r="R706" s="226">
        <v>1</v>
      </c>
      <c r="S706" s="227">
        <f t="shared" si="149"/>
        <v>1</v>
      </c>
      <c r="T706" s="230" t="s">
        <v>48</v>
      </c>
      <c r="U706" s="183" t="str">
        <f t="shared" si="147"/>
        <v>1 Hrs</v>
      </c>
    </row>
    <row r="707" spans="3:21" s="172" customFormat="1" ht="20.25" customHeight="1">
      <c r="C707" s="185"/>
      <c r="D707" s="190">
        <f t="shared" ref="D707:D770" si="159">D706+1</f>
        <v>707</v>
      </c>
      <c r="E707" s="231" t="s">
        <v>104</v>
      </c>
      <c r="F707" s="198">
        <f>D706</f>
        <v>706</v>
      </c>
      <c r="G707" s="193" t="s">
        <v>121</v>
      </c>
      <c r="H707" s="193"/>
      <c r="I707" s="211" t="str">
        <f>I695</f>
        <v>2"nb</v>
      </c>
      <c r="J707" s="195"/>
      <c r="K707" s="221">
        <v>2</v>
      </c>
      <c r="L707" s="195" t="s">
        <v>50</v>
      </c>
      <c r="M707" s="204">
        <v>0</v>
      </c>
      <c r="N707" s="195" t="s">
        <v>50</v>
      </c>
      <c r="O707" s="233"/>
      <c r="P707" s="195" t="s">
        <v>112</v>
      </c>
      <c r="Q707" s="227">
        <f t="shared" si="158"/>
        <v>0</v>
      </c>
      <c r="R707" s="226">
        <v>1</v>
      </c>
      <c r="S707" s="227">
        <f t="shared" si="149"/>
        <v>1</v>
      </c>
      <c r="T707" s="230" t="s">
        <v>48</v>
      </c>
      <c r="U707" s="183" t="str">
        <f t="shared" si="147"/>
        <v>1 Hrs</v>
      </c>
    </row>
    <row r="708" spans="3:21" s="172" customFormat="1" ht="20.25" customHeight="1">
      <c r="C708" s="185"/>
      <c r="D708" s="190">
        <f t="shared" si="159"/>
        <v>708</v>
      </c>
      <c r="E708" s="231" t="s">
        <v>109</v>
      </c>
      <c r="F708" s="198">
        <f>D707</f>
        <v>707</v>
      </c>
      <c r="G708" s="193" t="s">
        <v>121</v>
      </c>
      <c r="H708" s="193"/>
      <c r="I708" s="195"/>
      <c r="J708" s="195"/>
      <c r="K708" s="221">
        <v>4</v>
      </c>
      <c r="L708" s="195" t="s">
        <v>50</v>
      </c>
      <c r="M708" s="204">
        <v>0</v>
      </c>
      <c r="N708" s="195" t="s">
        <v>50</v>
      </c>
      <c r="O708" s="205"/>
      <c r="P708" s="195" t="s">
        <v>112</v>
      </c>
      <c r="Q708" s="227">
        <f t="shared" si="158"/>
        <v>0</v>
      </c>
      <c r="R708" s="226">
        <v>1</v>
      </c>
      <c r="S708" s="227">
        <f t="shared" si="149"/>
        <v>1</v>
      </c>
      <c r="T708" s="230" t="s">
        <v>48</v>
      </c>
      <c r="U708" s="183" t="str">
        <f t="shared" si="147"/>
        <v>1 Hrs</v>
      </c>
    </row>
    <row r="709" spans="3:21" s="172" customFormat="1" ht="20.25" customHeight="1">
      <c r="C709" s="185">
        <f>D709</f>
        <v>709</v>
      </c>
      <c r="D709" s="190">
        <f t="shared" si="159"/>
        <v>709</v>
      </c>
      <c r="E709" s="191" t="s">
        <v>122</v>
      </c>
      <c r="F709" s="197">
        <f>D705</f>
        <v>705</v>
      </c>
      <c r="G709" s="193"/>
      <c r="H709" s="193"/>
      <c r="I709" s="195"/>
      <c r="J709" s="195"/>
      <c r="K709" s="221"/>
      <c r="L709" s="195"/>
      <c r="M709" s="204"/>
      <c r="N709" s="195"/>
      <c r="O709" s="205"/>
      <c r="P709" s="195"/>
      <c r="Q709" s="227"/>
      <c r="R709" s="226"/>
      <c r="S709" s="227"/>
      <c r="T709" s="203"/>
      <c r="U709" s="183"/>
    </row>
    <row r="710" spans="3:21" s="172" customFormat="1" ht="20.25" customHeight="1">
      <c r="C710" s="185"/>
      <c r="D710" s="190">
        <f t="shared" si="159"/>
        <v>710</v>
      </c>
      <c r="E710" s="232" t="s">
        <v>102</v>
      </c>
      <c r="F710" s="198"/>
      <c r="G710" s="193" t="s">
        <v>121</v>
      </c>
      <c r="H710" s="193"/>
      <c r="I710" s="211" t="s">
        <v>123</v>
      </c>
      <c r="J710" s="195" t="str">
        <f>J698</f>
        <v>3054 mm</v>
      </c>
      <c r="K710" s="221">
        <v>2</v>
      </c>
      <c r="L710" s="195" t="s">
        <v>50</v>
      </c>
      <c r="M710" s="214">
        <f>LEFT(J710,SEARCH(" ",J710,1)-1)*K710*0.001</f>
        <v>6.1080000000000005</v>
      </c>
      <c r="N710" s="195" t="s">
        <v>50</v>
      </c>
      <c r="O710" s="233">
        <v>1</v>
      </c>
      <c r="P710" s="195" t="s">
        <v>112</v>
      </c>
      <c r="Q710" s="227">
        <f t="shared" ref="Q710:Q712" si="160">M710*O710</f>
        <v>6.1080000000000005</v>
      </c>
      <c r="R710" s="226">
        <v>1</v>
      </c>
      <c r="S710" s="227">
        <f t="shared" si="149"/>
        <v>7.11</v>
      </c>
      <c r="T710" s="230" t="s">
        <v>48</v>
      </c>
      <c r="U710" s="183" t="str">
        <f t="shared" si="147"/>
        <v>7.11 Hrs</v>
      </c>
    </row>
    <row r="711" spans="3:21" s="172" customFormat="1" ht="20.25" customHeight="1">
      <c r="C711" s="185"/>
      <c r="D711" s="190">
        <f t="shared" si="159"/>
        <v>711</v>
      </c>
      <c r="E711" s="232" t="s">
        <v>104</v>
      </c>
      <c r="F711" s="198">
        <f t="shared" ref="F711:F712" si="161">D710</f>
        <v>710</v>
      </c>
      <c r="G711" s="193" t="s">
        <v>121</v>
      </c>
      <c r="H711" s="193"/>
      <c r="I711" s="211">
        <v>18</v>
      </c>
      <c r="J711" s="198" t="str">
        <f>J699</f>
        <v>272 MM</v>
      </c>
      <c r="K711" s="221">
        <v>2</v>
      </c>
      <c r="L711" s="195" t="s">
        <v>50</v>
      </c>
      <c r="M711" s="214">
        <f>LEFT(J711,SEARCH(" ",J711,1)-1)*K711*0.001</f>
        <v>0.54400000000000004</v>
      </c>
      <c r="N711" s="195" t="s">
        <v>50</v>
      </c>
      <c r="O711" s="233">
        <v>0.5</v>
      </c>
      <c r="P711" s="195" t="s">
        <v>112</v>
      </c>
      <c r="Q711" s="227">
        <f t="shared" si="160"/>
        <v>0.27200000000000002</v>
      </c>
      <c r="R711" s="226">
        <v>1</v>
      </c>
      <c r="S711" s="227">
        <f t="shared" si="149"/>
        <v>1.27</v>
      </c>
      <c r="T711" s="230" t="s">
        <v>48</v>
      </c>
      <c r="U711" s="183" t="str">
        <f t="shared" si="147"/>
        <v>1.27 Hrs</v>
      </c>
    </row>
    <row r="712" spans="3:21" s="172" customFormat="1" ht="20.25" customHeight="1">
      <c r="C712" s="185"/>
      <c r="D712" s="190">
        <f t="shared" si="159"/>
        <v>712</v>
      </c>
      <c r="E712" s="232" t="s">
        <v>109</v>
      </c>
      <c r="F712" s="198">
        <f t="shared" si="161"/>
        <v>711</v>
      </c>
      <c r="G712" s="193" t="s">
        <v>121</v>
      </c>
      <c r="H712" s="193"/>
      <c r="I712" s="195"/>
      <c r="J712" s="195"/>
      <c r="K712" s="221">
        <v>4</v>
      </c>
      <c r="L712" s="195" t="s">
        <v>50</v>
      </c>
      <c r="M712" s="204">
        <v>1</v>
      </c>
      <c r="N712" s="195" t="s">
        <v>50</v>
      </c>
      <c r="O712" s="205">
        <v>1</v>
      </c>
      <c r="P712" s="195" t="s">
        <v>112</v>
      </c>
      <c r="Q712" s="227">
        <f t="shared" si="160"/>
        <v>1</v>
      </c>
      <c r="R712" s="226">
        <v>1</v>
      </c>
      <c r="S712" s="227">
        <f t="shared" si="149"/>
        <v>2</v>
      </c>
      <c r="T712" s="230" t="s">
        <v>48</v>
      </c>
      <c r="U712" s="183" t="str">
        <f t="shared" si="147"/>
        <v>2 Hrs</v>
      </c>
    </row>
    <row r="713" spans="3:21" s="172" customFormat="1" ht="20.25" customHeight="1">
      <c r="C713" s="185">
        <f>D713</f>
        <v>713</v>
      </c>
      <c r="D713" s="190">
        <f t="shared" si="159"/>
        <v>713</v>
      </c>
      <c r="E713" s="191" t="s">
        <v>124</v>
      </c>
      <c r="F713" s="197">
        <f>D709</f>
        <v>709</v>
      </c>
      <c r="G713" s="193"/>
      <c r="H713" s="193"/>
      <c r="I713" s="195"/>
      <c r="J713" s="195"/>
      <c r="K713" s="221"/>
      <c r="L713" s="195"/>
      <c r="M713" s="204"/>
      <c r="N713" s="195"/>
      <c r="O713" s="205"/>
      <c r="P713" s="195"/>
      <c r="Q713" s="227"/>
      <c r="R713" s="226"/>
      <c r="S713" s="227"/>
      <c r="T713" s="203"/>
      <c r="U713" s="183"/>
    </row>
    <row r="714" spans="3:21" s="172" customFormat="1" ht="20.25" customHeight="1">
      <c r="C714" s="185"/>
      <c r="D714" s="190">
        <f t="shared" si="159"/>
        <v>714</v>
      </c>
      <c r="E714" s="194" t="s">
        <v>125</v>
      </c>
      <c r="F714" s="198"/>
      <c r="G714" s="193" t="s">
        <v>44</v>
      </c>
      <c r="H714" s="193"/>
      <c r="I714" s="211" t="s">
        <v>103</v>
      </c>
      <c r="J714" s="195" t="str">
        <f>J710</f>
        <v>3054 mm</v>
      </c>
      <c r="K714" s="221">
        <v>2</v>
      </c>
      <c r="L714" s="195" t="s">
        <v>81</v>
      </c>
      <c r="M714" s="204">
        <f>K714</f>
        <v>2</v>
      </c>
      <c r="N714" s="195" t="s">
        <v>81</v>
      </c>
      <c r="O714" s="205">
        <v>1</v>
      </c>
      <c r="P714" s="195"/>
      <c r="Q714" s="227">
        <f t="shared" ref="Q714:Q716" si="162">M714*O714</f>
        <v>2</v>
      </c>
      <c r="R714" s="226">
        <v>1</v>
      </c>
      <c r="S714" s="227">
        <f t="shared" si="149"/>
        <v>3</v>
      </c>
      <c r="T714" s="230" t="s">
        <v>48</v>
      </c>
      <c r="U714" s="183" t="str">
        <f t="shared" si="147"/>
        <v>3 Hrs</v>
      </c>
    </row>
    <row r="715" spans="3:21" s="172" customFormat="1" ht="20.25" customHeight="1">
      <c r="C715" s="185"/>
      <c r="D715" s="190">
        <f t="shared" si="159"/>
        <v>715</v>
      </c>
      <c r="E715" s="194" t="s">
        <v>104</v>
      </c>
      <c r="F715" s="198">
        <f t="shared" ref="F715:F716" si="163">D714</f>
        <v>714</v>
      </c>
      <c r="G715" s="193" t="s">
        <v>44</v>
      </c>
      <c r="H715" s="193"/>
      <c r="I715" s="211" t="s">
        <v>105</v>
      </c>
      <c r="J715" s="195" t="str">
        <f>J711</f>
        <v>272 MM</v>
      </c>
      <c r="K715" s="221">
        <v>2</v>
      </c>
      <c r="L715" s="195" t="s">
        <v>81</v>
      </c>
      <c r="M715" s="204">
        <f>K715</f>
        <v>2</v>
      </c>
      <c r="N715" s="195" t="s">
        <v>81</v>
      </c>
      <c r="O715" s="205">
        <v>1</v>
      </c>
      <c r="P715" s="195"/>
      <c r="Q715" s="227">
        <f t="shared" si="162"/>
        <v>2</v>
      </c>
      <c r="R715" s="226">
        <v>1</v>
      </c>
      <c r="S715" s="227">
        <f t="shared" si="149"/>
        <v>3</v>
      </c>
      <c r="T715" s="230" t="s">
        <v>48</v>
      </c>
      <c r="U715" s="183" t="str">
        <f t="shared" si="147"/>
        <v>3 Hrs</v>
      </c>
    </row>
    <row r="716" spans="3:21" s="172" customFormat="1" ht="20.25" customHeight="1">
      <c r="C716" s="185"/>
      <c r="D716" s="190">
        <f t="shared" si="159"/>
        <v>716</v>
      </c>
      <c r="E716" s="194" t="s">
        <v>109</v>
      </c>
      <c r="F716" s="198">
        <f t="shared" si="163"/>
        <v>715</v>
      </c>
      <c r="G716" s="193" t="s">
        <v>44</v>
      </c>
      <c r="H716" s="193"/>
      <c r="I716" s="195"/>
      <c r="J716" s="195"/>
      <c r="K716" s="221">
        <f>K715+K714</f>
        <v>4</v>
      </c>
      <c r="L716" s="195" t="s">
        <v>81</v>
      </c>
      <c r="M716" s="204">
        <f>K716</f>
        <v>4</v>
      </c>
      <c r="N716" s="195" t="s">
        <v>81</v>
      </c>
      <c r="O716" s="205">
        <v>0.5</v>
      </c>
      <c r="P716" s="195"/>
      <c r="Q716" s="227">
        <f t="shared" si="162"/>
        <v>2</v>
      </c>
      <c r="R716" s="226">
        <v>1</v>
      </c>
      <c r="S716" s="227">
        <f t="shared" si="149"/>
        <v>3</v>
      </c>
      <c r="T716" s="230" t="s">
        <v>48</v>
      </c>
      <c r="U716" s="183" t="str">
        <f t="shared" si="147"/>
        <v>3 Hrs</v>
      </c>
    </row>
    <row r="717" spans="3:21" s="172" customFormat="1" ht="20.25" customHeight="1">
      <c r="C717" s="185">
        <f>D717</f>
        <v>717</v>
      </c>
      <c r="D717" s="190">
        <f t="shared" si="159"/>
        <v>717</v>
      </c>
      <c r="E717" s="191" t="s">
        <v>126</v>
      </c>
      <c r="F717" s="197">
        <f>D713</f>
        <v>713</v>
      </c>
      <c r="G717" s="193"/>
      <c r="H717" s="193"/>
      <c r="I717" s="195"/>
      <c r="J717" s="195"/>
      <c r="K717" s="221"/>
      <c r="L717" s="195"/>
      <c r="M717" s="204"/>
      <c r="N717" s="195"/>
      <c r="O717" s="205"/>
      <c r="P717" s="195"/>
      <c r="Q717" s="227"/>
      <c r="R717" s="226"/>
      <c r="S717" s="227"/>
      <c r="T717" s="203"/>
      <c r="U717" s="183"/>
    </row>
    <row r="718" spans="3:21" s="172" customFormat="1" ht="20.25" customHeight="1">
      <c r="C718" s="185"/>
      <c r="D718" s="190">
        <f t="shared" si="159"/>
        <v>718</v>
      </c>
      <c r="E718" s="194" t="s">
        <v>125</v>
      </c>
      <c r="F718" s="198"/>
      <c r="G718" s="193" t="s">
        <v>52</v>
      </c>
      <c r="H718" s="193"/>
      <c r="I718" s="211" t="str">
        <f>I714</f>
        <v>26" nb</v>
      </c>
      <c r="J718" s="195"/>
      <c r="K718" s="221">
        <f>K714</f>
        <v>2</v>
      </c>
      <c r="L718" s="195" t="s">
        <v>81</v>
      </c>
      <c r="M718" s="204">
        <f>K718</f>
        <v>2</v>
      </c>
      <c r="N718" s="195" t="s">
        <v>81</v>
      </c>
      <c r="O718" s="205">
        <v>0</v>
      </c>
      <c r="P718" s="195"/>
      <c r="Q718" s="227">
        <f t="shared" ref="Q718:Q720" si="164">M718*O718</f>
        <v>0</v>
      </c>
      <c r="R718" s="226">
        <v>0</v>
      </c>
      <c r="S718" s="227"/>
      <c r="T718" s="230" t="s">
        <v>48</v>
      </c>
      <c r="U718" s="183"/>
    </row>
    <row r="719" spans="3:21" s="172" customFormat="1" ht="20.25" customHeight="1">
      <c r="C719" s="185"/>
      <c r="D719" s="190">
        <f t="shared" si="159"/>
        <v>719</v>
      </c>
      <c r="E719" s="194" t="s">
        <v>104</v>
      </c>
      <c r="F719" s="198">
        <f t="shared" ref="F719:F720" si="165">D718</f>
        <v>718</v>
      </c>
      <c r="G719" s="193" t="s">
        <v>52</v>
      </c>
      <c r="H719" s="193"/>
      <c r="I719" s="211" t="str">
        <f>I715</f>
        <v>2"nb</v>
      </c>
      <c r="J719" s="195"/>
      <c r="K719" s="221">
        <f>K715</f>
        <v>2</v>
      </c>
      <c r="L719" s="195" t="s">
        <v>81</v>
      </c>
      <c r="M719" s="204">
        <f>K719</f>
        <v>2</v>
      </c>
      <c r="N719" s="195" t="s">
        <v>81</v>
      </c>
      <c r="O719" s="205">
        <v>0</v>
      </c>
      <c r="P719" s="195"/>
      <c r="Q719" s="227">
        <f t="shared" si="164"/>
        <v>0</v>
      </c>
      <c r="R719" s="226">
        <v>0</v>
      </c>
      <c r="S719" s="227"/>
      <c r="T719" s="230" t="s">
        <v>48</v>
      </c>
      <c r="U719" s="183"/>
    </row>
    <row r="720" spans="3:21" s="172" customFormat="1" ht="20.25" customHeight="1">
      <c r="C720" s="185"/>
      <c r="D720" s="190">
        <f t="shared" si="159"/>
        <v>720</v>
      </c>
      <c r="E720" s="194" t="s">
        <v>109</v>
      </c>
      <c r="F720" s="198">
        <f t="shared" si="165"/>
        <v>719</v>
      </c>
      <c r="G720" s="193" t="s">
        <v>52</v>
      </c>
      <c r="H720" s="193"/>
      <c r="I720" s="195"/>
      <c r="J720" s="195"/>
      <c r="K720" s="221">
        <f>K719+K718</f>
        <v>4</v>
      </c>
      <c r="L720" s="195" t="s">
        <v>81</v>
      </c>
      <c r="M720" s="204">
        <f>K720</f>
        <v>4</v>
      </c>
      <c r="N720" s="195" t="s">
        <v>81</v>
      </c>
      <c r="O720" s="205">
        <v>0</v>
      </c>
      <c r="P720" s="195"/>
      <c r="Q720" s="227">
        <f t="shared" si="164"/>
        <v>0</v>
      </c>
      <c r="R720" s="226">
        <v>0</v>
      </c>
      <c r="S720" s="227"/>
      <c r="T720" s="230" t="s">
        <v>48</v>
      </c>
      <c r="U720" s="183"/>
    </row>
    <row r="721" spans="3:21" s="172" customFormat="1" ht="20.25" customHeight="1">
      <c r="C721" s="185">
        <f>D721</f>
        <v>721</v>
      </c>
      <c r="D721" s="190">
        <f t="shared" si="159"/>
        <v>721</v>
      </c>
      <c r="E721" s="191" t="s">
        <v>127</v>
      </c>
      <c r="F721" s="197">
        <f>D717</f>
        <v>717</v>
      </c>
      <c r="G721" s="193"/>
      <c r="H721" s="193"/>
      <c r="I721" s="195"/>
      <c r="J721" s="195"/>
      <c r="K721" s="221"/>
      <c r="L721" s="195"/>
      <c r="M721" s="204"/>
      <c r="N721" s="195"/>
      <c r="O721" s="205"/>
      <c r="P721" s="195"/>
      <c r="Q721" s="227"/>
      <c r="R721" s="226"/>
      <c r="S721" s="227"/>
      <c r="T721" s="203"/>
      <c r="U721" s="183"/>
    </row>
    <row r="722" spans="3:21" s="172" customFormat="1" ht="20.25" customHeight="1">
      <c r="C722" s="185"/>
      <c r="D722" s="190">
        <f t="shared" si="159"/>
        <v>722</v>
      </c>
      <c r="E722" s="194" t="s">
        <v>125</v>
      </c>
      <c r="F722" s="198"/>
      <c r="G722" s="193" t="s">
        <v>121</v>
      </c>
      <c r="H722" s="193"/>
      <c r="I722" s="211" t="str">
        <f>I714</f>
        <v>26" nb</v>
      </c>
      <c r="J722" s="195"/>
      <c r="K722" s="221">
        <f>K714</f>
        <v>2</v>
      </c>
      <c r="L722" s="195" t="s">
        <v>81</v>
      </c>
      <c r="M722" s="204">
        <v>2</v>
      </c>
      <c r="N722" s="195" t="s">
        <v>81</v>
      </c>
      <c r="O722" s="205">
        <v>4</v>
      </c>
      <c r="P722" s="195"/>
      <c r="Q722" s="227">
        <f t="shared" ref="Q722:Q724" si="166">M722*O722</f>
        <v>8</v>
      </c>
      <c r="R722" s="226">
        <v>0</v>
      </c>
      <c r="S722" s="227">
        <f t="shared" si="149"/>
        <v>8</v>
      </c>
      <c r="T722" s="230" t="s">
        <v>48</v>
      </c>
      <c r="U722" s="183" t="str">
        <f t="shared" si="147"/>
        <v>8 Hrs</v>
      </c>
    </row>
    <row r="723" spans="3:21" s="172" customFormat="1" ht="20.25" customHeight="1">
      <c r="C723" s="185"/>
      <c r="D723" s="190">
        <f t="shared" si="159"/>
        <v>723</v>
      </c>
      <c r="E723" s="194" t="s">
        <v>104</v>
      </c>
      <c r="F723" s="198">
        <f t="shared" ref="F723:F724" si="167">D722</f>
        <v>722</v>
      </c>
      <c r="G723" s="193" t="s">
        <v>121</v>
      </c>
      <c r="H723" s="193"/>
      <c r="I723" s="211" t="str">
        <f>I715</f>
        <v>2"nb</v>
      </c>
      <c r="J723" s="195"/>
      <c r="K723" s="221">
        <f>K715</f>
        <v>2</v>
      </c>
      <c r="L723" s="195" t="s">
        <v>81</v>
      </c>
      <c r="M723" s="204">
        <v>2</v>
      </c>
      <c r="N723" s="195" t="s">
        <v>81</v>
      </c>
      <c r="O723" s="205">
        <v>0</v>
      </c>
      <c r="P723" s="195"/>
      <c r="Q723" s="227">
        <f t="shared" si="166"/>
        <v>0</v>
      </c>
      <c r="R723" s="226">
        <v>0</v>
      </c>
      <c r="S723" s="227"/>
      <c r="T723" s="230" t="s">
        <v>48</v>
      </c>
      <c r="U723" s="183"/>
    </row>
    <row r="724" spans="3:21" s="172" customFormat="1" ht="20.25" customHeight="1">
      <c r="C724" s="185"/>
      <c r="D724" s="190">
        <f t="shared" si="159"/>
        <v>724</v>
      </c>
      <c r="E724" s="194" t="s">
        <v>109</v>
      </c>
      <c r="F724" s="198">
        <f t="shared" si="167"/>
        <v>723</v>
      </c>
      <c r="G724" s="193" t="s">
        <v>121</v>
      </c>
      <c r="H724" s="193"/>
      <c r="I724" s="195"/>
      <c r="J724" s="195"/>
      <c r="K724" s="221">
        <f>K723+K722</f>
        <v>4</v>
      </c>
      <c r="L724" s="195" t="s">
        <v>81</v>
      </c>
      <c r="M724" s="204">
        <v>4</v>
      </c>
      <c r="N724" s="195" t="s">
        <v>81</v>
      </c>
      <c r="O724" s="205">
        <v>0</v>
      </c>
      <c r="P724" s="195"/>
      <c r="Q724" s="227">
        <f t="shared" si="166"/>
        <v>0</v>
      </c>
      <c r="R724" s="226">
        <v>0</v>
      </c>
      <c r="S724" s="227"/>
      <c r="T724" s="230" t="s">
        <v>48</v>
      </c>
      <c r="U724" s="183"/>
    </row>
    <row r="725" spans="3:21" s="172" customFormat="1" ht="20.25" customHeight="1">
      <c r="C725" s="185">
        <f>D725</f>
        <v>725</v>
      </c>
      <c r="D725" s="190">
        <f t="shared" si="159"/>
        <v>725</v>
      </c>
      <c r="E725" s="191" t="s">
        <v>128</v>
      </c>
      <c r="F725" s="197">
        <f>D721</f>
        <v>721</v>
      </c>
      <c r="G725" s="193"/>
      <c r="H725" s="193"/>
      <c r="I725" s="195"/>
      <c r="J725" s="195"/>
      <c r="K725" s="221"/>
      <c r="L725" s="195"/>
      <c r="M725" s="204"/>
      <c r="N725" s="195"/>
      <c r="O725" s="205"/>
      <c r="P725" s="195"/>
      <c r="Q725" s="227"/>
      <c r="R725" s="226"/>
      <c r="S725" s="227"/>
      <c r="T725" s="203"/>
      <c r="U725" s="183"/>
    </row>
    <row r="726" spans="3:21" s="172" customFormat="1" ht="20.25" customHeight="1">
      <c r="C726" s="185"/>
      <c r="D726" s="190">
        <f t="shared" si="159"/>
        <v>726</v>
      </c>
      <c r="E726" s="194" t="s">
        <v>125</v>
      </c>
      <c r="F726" s="198"/>
      <c r="G726" s="193" t="s">
        <v>111</v>
      </c>
      <c r="H726" s="193"/>
      <c r="I726" s="211" t="str">
        <f>I714</f>
        <v>26" nb</v>
      </c>
      <c r="J726" s="195"/>
      <c r="K726" s="221">
        <v>2</v>
      </c>
      <c r="L726" s="195" t="s">
        <v>50</v>
      </c>
      <c r="M726" s="204">
        <v>2</v>
      </c>
      <c r="N726" s="195" t="s">
        <v>50</v>
      </c>
      <c r="O726" s="205">
        <v>4</v>
      </c>
      <c r="P726" s="195" t="s">
        <v>112</v>
      </c>
      <c r="Q726" s="227">
        <f t="shared" ref="Q726:Q728" si="168">M726*O726</f>
        <v>8</v>
      </c>
      <c r="R726" s="226">
        <v>1</v>
      </c>
      <c r="S726" s="227">
        <f t="shared" si="149"/>
        <v>9</v>
      </c>
      <c r="T726" s="230" t="s">
        <v>48</v>
      </c>
      <c r="U726" s="183" t="str">
        <f t="shared" si="147"/>
        <v>9 Hrs</v>
      </c>
    </row>
    <row r="727" spans="3:21" s="172" customFormat="1" ht="20.25" customHeight="1">
      <c r="C727" s="185"/>
      <c r="D727" s="190">
        <f t="shared" si="159"/>
        <v>727</v>
      </c>
      <c r="E727" s="194" t="s">
        <v>104</v>
      </c>
      <c r="F727" s="198">
        <f t="shared" ref="F727:F728" si="169">D726</f>
        <v>726</v>
      </c>
      <c r="G727" s="193" t="s">
        <v>111</v>
      </c>
      <c r="H727" s="193"/>
      <c r="I727" s="211" t="str">
        <f>I715</f>
        <v>2"nb</v>
      </c>
      <c r="J727" s="195"/>
      <c r="K727" s="221">
        <v>2</v>
      </c>
      <c r="L727" s="195" t="s">
        <v>50</v>
      </c>
      <c r="M727" s="204">
        <v>2</v>
      </c>
      <c r="N727" s="195" t="s">
        <v>50</v>
      </c>
      <c r="O727" s="205">
        <v>0</v>
      </c>
      <c r="P727" s="195" t="s">
        <v>112</v>
      </c>
      <c r="Q727" s="227">
        <f t="shared" si="168"/>
        <v>0</v>
      </c>
      <c r="R727" s="226">
        <v>1</v>
      </c>
      <c r="S727" s="227">
        <f t="shared" si="149"/>
        <v>1</v>
      </c>
      <c r="T727" s="230" t="s">
        <v>48</v>
      </c>
      <c r="U727" s="183" t="str">
        <f t="shared" si="147"/>
        <v>1 Hrs</v>
      </c>
    </row>
    <row r="728" spans="3:21" s="172" customFormat="1" ht="20.25" customHeight="1">
      <c r="C728" s="185"/>
      <c r="D728" s="190">
        <f t="shared" si="159"/>
        <v>728</v>
      </c>
      <c r="E728" s="194" t="s">
        <v>109</v>
      </c>
      <c r="F728" s="198">
        <f t="shared" si="169"/>
        <v>727</v>
      </c>
      <c r="G728" s="193" t="s">
        <v>111</v>
      </c>
      <c r="H728" s="193"/>
      <c r="I728" s="195"/>
      <c r="J728" s="195"/>
      <c r="K728" s="221">
        <v>4</v>
      </c>
      <c r="L728" s="195" t="s">
        <v>50</v>
      </c>
      <c r="M728" s="204">
        <v>4</v>
      </c>
      <c r="N728" s="195" t="s">
        <v>50</v>
      </c>
      <c r="O728" s="205">
        <v>0.25</v>
      </c>
      <c r="P728" s="195" t="s">
        <v>112</v>
      </c>
      <c r="Q728" s="227">
        <f t="shared" si="168"/>
        <v>1</v>
      </c>
      <c r="R728" s="226">
        <v>1</v>
      </c>
      <c r="S728" s="227">
        <f t="shared" si="149"/>
        <v>2</v>
      </c>
      <c r="T728" s="230" t="s">
        <v>48</v>
      </c>
      <c r="U728" s="183" t="str">
        <f t="shared" si="147"/>
        <v>2 Hrs</v>
      </c>
    </row>
    <row r="729" spans="3:21" s="172" customFormat="1" ht="20.25" customHeight="1">
      <c r="C729" s="185">
        <f>D729</f>
        <v>729</v>
      </c>
      <c r="D729" s="190">
        <f t="shared" si="159"/>
        <v>729</v>
      </c>
      <c r="E729" s="191" t="s">
        <v>129</v>
      </c>
      <c r="F729" s="197">
        <f>D725</f>
        <v>725</v>
      </c>
      <c r="G729" s="193"/>
      <c r="H729" s="193"/>
      <c r="I729" s="195"/>
      <c r="J729" s="195"/>
      <c r="K729" s="221"/>
      <c r="L729" s="195"/>
      <c r="M729" s="204"/>
      <c r="N729" s="195"/>
      <c r="O729" s="205"/>
      <c r="P729" s="195"/>
      <c r="Q729" s="227"/>
      <c r="R729" s="226"/>
      <c r="S729" s="227"/>
      <c r="T729" s="203"/>
      <c r="U729" s="183"/>
    </row>
    <row r="730" spans="3:21" s="172" customFormat="1" ht="20.25" customHeight="1">
      <c r="C730" s="185"/>
      <c r="D730" s="190">
        <f t="shared" si="159"/>
        <v>730</v>
      </c>
      <c r="E730" s="194" t="s">
        <v>125</v>
      </c>
      <c r="F730" s="198"/>
      <c r="G730" s="193" t="s">
        <v>115</v>
      </c>
      <c r="H730" s="193"/>
      <c r="I730" s="211" t="s">
        <v>116</v>
      </c>
      <c r="J730" s="221" t="s">
        <v>117</v>
      </c>
      <c r="K730" s="221">
        <v>2</v>
      </c>
      <c r="L730" s="195" t="s">
        <v>50</v>
      </c>
      <c r="M730" s="214">
        <f>LEFT(J730,SEARCH(" ",J730,1)-1)*K730*0.001</f>
        <v>6.1080000000000005</v>
      </c>
      <c r="N730" s="195" t="s">
        <v>50</v>
      </c>
      <c r="O730" s="233">
        <f>6.12</f>
        <v>6.12</v>
      </c>
      <c r="P730" s="195" t="s">
        <v>112</v>
      </c>
      <c r="Q730" s="227">
        <f>M730*O730</f>
        <v>37.380960000000002</v>
      </c>
      <c r="R730" s="226">
        <v>1</v>
      </c>
      <c r="S730" s="227">
        <f t="shared" si="149"/>
        <v>38.380000000000003</v>
      </c>
      <c r="T730" s="230" t="s">
        <v>48</v>
      </c>
      <c r="U730" s="183" t="str">
        <f t="shared" si="147"/>
        <v>38.38 Hrs</v>
      </c>
    </row>
    <row r="731" spans="3:21" s="172" customFormat="1" ht="20.25" customHeight="1">
      <c r="C731" s="185"/>
      <c r="D731" s="190">
        <f t="shared" si="159"/>
        <v>731</v>
      </c>
      <c r="E731" s="194" t="s">
        <v>104</v>
      </c>
      <c r="F731" s="198">
        <f t="shared" ref="F731:F732" si="170">D730</f>
        <v>730</v>
      </c>
      <c r="G731" s="193" t="s">
        <v>115</v>
      </c>
      <c r="H731" s="193"/>
      <c r="I731" s="211" t="str">
        <f>I719</f>
        <v>2"nb</v>
      </c>
      <c r="J731" s="221" t="s">
        <v>118</v>
      </c>
      <c r="K731" s="221">
        <v>2</v>
      </c>
      <c r="L731" s="195" t="s">
        <v>50</v>
      </c>
      <c r="M731" s="204">
        <v>0</v>
      </c>
      <c r="N731" s="195" t="s">
        <v>50</v>
      </c>
      <c r="O731" s="233"/>
      <c r="P731" s="195" t="s">
        <v>112</v>
      </c>
      <c r="Q731" s="227">
        <f t="shared" ref="Q731:Q732" si="171">M731*O731</f>
        <v>0</v>
      </c>
      <c r="R731" s="226"/>
      <c r="S731" s="227"/>
      <c r="T731" s="230" t="s">
        <v>48</v>
      </c>
      <c r="U731" s="183"/>
    </row>
    <row r="732" spans="3:21" s="172" customFormat="1" ht="20.25" customHeight="1">
      <c r="C732" s="185"/>
      <c r="D732" s="190">
        <f t="shared" si="159"/>
        <v>732</v>
      </c>
      <c r="E732" s="194" t="s">
        <v>109</v>
      </c>
      <c r="F732" s="198">
        <f t="shared" si="170"/>
        <v>731</v>
      </c>
      <c r="G732" s="193" t="s">
        <v>115</v>
      </c>
      <c r="H732" s="193"/>
      <c r="I732" s="195"/>
      <c r="J732" s="195"/>
      <c r="K732" s="221">
        <v>4</v>
      </c>
      <c r="L732" s="195" t="s">
        <v>50</v>
      </c>
      <c r="M732" s="204">
        <v>4</v>
      </c>
      <c r="N732" s="195" t="s">
        <v>50</v>
      </c>
      <c r="O732" s="205">
        <v>0.25</v>
      </c>
      <c r="P732" s="195" t="s">
        <v>112</v>
      </c>
      <c r="Q732" s="227">
        <f t="shared" si="171"/>
        <v>1</v>
      </c>
      <c r="R732" s="226">
        <v>1</v>
      </c>
      <c r="S732" s="227">
        <f t="shared" si="149"/>
        <v>2</v>
      </c>
      <c r="T732" s="230" t="s">
        <v>48</v>
      </c>
      <c r="U732" s="183" t="str">
        <f t="shared" ref="U732:U793" si="172">CONCATENATE(S732," ",T732)</f>
        <v>2 Hrs</v>
      </c>
    </row>
    <row r="733" spans="3:21" s="172" customFormat="1" ht="20.25" customHeight="1">
      <c r="C733" s="185">
        <f>D733</f>
        <v>733</v>
      </c>
      <c r="D733" s="190">
        <f t="shared" si="159"/>
        <v>733</v>
      </c>
      <c r="E733" s="191" t="s">
        <v>130</v>
      </c>
      <c r="F733" s="197">
        <f>D729</f>
        <v>729</v>
      </c>
      <c r="G733" s="193"/>
      <c r="H733" s="193"/>
      <c r="I733" s="195"/>
      <c r="J733" s="195"/>
      <c r="K733" s="221"/>
      <c r="L733" s="195"/>
      <c r="M733" s="204"/>
      <c r="N733" s="195"/>
      <c r="O733" s="205"/>
      <c r="P733" s="195"/>
      <c r="Q733" s="227"/>
      <c r="R733" s="226"/>
      <c r="S733" s="227"/>
      <c r="T733" s="203"/>
      <c r="U733" s="183"/>
    </row>
    <row r="734" spans="3:21" s="172" customFormat="1" ht="20.25" customHeight="1">
      <c r="C734" s="185"/>
      <c r="D734" s="190">
        <f t="shared" si="159"/>
        <v>734</v>
      </c>
      <c r="E734" s="194" t="s">
        <v>125</v>
      </c>
      <c r="F734" s="198"/>
      <c r="G734" s="193" t="s">
        <v>44</v>
      </c>
      <c r="H734" s="193"/>
      <c r="I734" s="211" t="str">
        <f>I722</f>
        <v>26" nb</v>
      </c>
      <c r="J734" s="195"/>
      <c r="K734" s="221">
        <v>2</v>
      </c>
      <c r="L734" s="195" t="s">
        <v>50</v>
      </c>
      <c r="M734" s="204">
        <v>1</v>
      </c>
      <c r="N734" s="195" t="s">
        <v>50</v>
      </c>
      <c r="O734" s="233">
        <v>4</v>
      </c>
      <c r="P734" s="195" t="s">
        <v>112</v>
      </c>
      <c r="Q734" s="227">
        <f t="shared" ref="Q734:Q736" si="173">M734*O734</f>
        <v>4</v>
      </c>
      <c r="R734" s="226">
        <v>1</v>
      </c>
      <c r="S734" s="227">
        <f t="shared" ref="S734:S796" si="174">ROUND(Q734+R734,2)</f>
        <v>5</v>
      </c>
      <c r="T734" s="230" t="s">
        <v>48</v>
      </c>
      <c r="U734" s="183" t="str">
        <f t="shared" si="172"/>
        <v>5 Hrs</v>
      </c>
    </row>
    <row r="735" spans="3:21" s="172" customFormat="1" ht="20.25" customHeight="1">
      <c r="C735" s="185"/>
      <c r="D735" s="190">
        <f t="shared" si="159"/>
        <v>735</v>
      </c>
      <c r="E735" s="194" t="s">
        <v>104</v>
      </c>
      <c r="F735" s="198">
        <f t="shared" ref="F735:F736" si="175">D734</f>
        <v>734</v>
      </c>
      <c r="G735" s="193" t="s">
        <v>44</v>
      </c>
      <c r="H735" s="193"/>
      <c r="I735" s="211" t="str">
        <f>I723</f>
        <v>2"nb</v>
      </c>
      <c r="J735" s="195"/>
      <c r="K735" s="221">
        <v>2</v>
      </c>
      <c r="L735" s="195" t="s">
        <v>50</v>
      </c>
      <c r="M735" s="204">
        <v>1</v>
      </c>
      <c r="N735" s="195" t="s">
        <v>50</v>
      </c>
      <c r="O735" s="233">
        <v>1</v>
      </c>
      <c r="P735" s="195" t="s">
        <v>112</v>
      </c>
      <c r="Q735" s="227">
        <f t="shared" si="173"/>
        <v>1</v>
      </c>
      <c r="R735" s="226">
        <v>1</v>
      </c>
      <c r="S735" s="227">
        <f t="shared" si="174"/>
        <v>2</v>
      </c>
      <c r="T735" s="230" t="s">
        <v>48</v>
      </c>
      <c r="U735" s="183" t="str">
        <f t="shared" si="172"/>
        <v>2 Hrs</v>
      </c>
    </row>
    <row r="736" spans="3:21" s="172" customFormat="1" ht="20.25" customHeight="1">
      <c r="C736" s="185"/>
      <c r="D736" s="190">
        <f t="shared" si="159"/>
        <v>736</v>
      </c>
      <c r="E736" s="194" t="s">
        <v>109</v>
      </c>
      <c r="F736" s="198">
        <f t="shared" si="175"/>
        <v>735</v>
      </c>
      <c r="G736" s="193" t="s">
        <v>44</v>
      </c>
      <c r="H736" s="193"/>
      <c r="I736" s="195"/>
      <c r="J736" s="195"/>
      <c r="K736" s="221">
        <v>4</v>
      </c>
      <c r="L736" s="195" t="s">
        <v>50</v>
      </c>
      <c r="M736" s="204">
        <v>1</v>
      </c>
      <c r="N736" s="195" t="s">
        <v>50</v>
      </c>
      <c r="O736" s="205">
        <v>1</v>
      </c>
      <c r="P736" s="195" t="s">
        <v>112</v>
      </c>
      <c r="Q736" s="227">
        <f t="shared" si="173"/>
        <v>1</v>
      </c>
      <c r="R736" s="226">
        <v>1</v>
      </c>
      <c r="S736" s="227">
        <f t="shared" si="174"/>
        <v>2</v>
      </c>
      <c r="T736" s="230" t="s">
        <v>48</v>
      </c>
      <c r="U736" s="183" t="str">
        <f t="shared" si="172"/>
        <v>2 Hrs</v>
      </c>
    </row>
    <row r="737" spans="3:21" s="172" customFormat="1" ht="20.25" customHeight="1">
      <c r="C737" s="185">
        <f>D737</f>
        <v>737</v>
      </c>
      <c r="D737" s="190">
        <f t="shared" si="159"/>
        <v>737</v>
      </c>
      <c r="E737" s="191" t="s">
        <v>131</v>
      </c>
      <c r="F737" s="197">
        <f>D733</f>
        <v>733</v>
      </c>
      <c r="G737" s="193"/>
      <c r="H737" s="193"/>
      <c r="I737" s="195"/>
      <c r="J737" s="195"/>
      <c r="K737" s="221"/>
      <c r="L737" s="195"/>
      <c r="M737" s="204"/>
      <c r="N737" s="195"/>
      <c r="O737" s="205"/>
      <c r="P737" s="195"/>
      <c r="Q737" s="227"/>
      <c r="R737" s="226"/>
      <c r="S737" s="227"/>
      <c r="T737" s="203"/>
      <c r="U737" s="183"/>
    </row>
    <row r="738" spans="3:21" s="172" customFormat="1" ht="20.25" customHeight="1">
      <c r="C738" s="185"/>
      <c r="D738" s="190">
        <f t="shared" si="159"/>
        <v>738</v>
      </c>
      <c r="E738" s="194" t="s">
        <v>125</v>
      </c>
      <c r="F738" s="198"/>
      <c r="G738" s="193" t="s">
        <v>44</v>
      </c>
      <c r="H738" s="193"/>
      <c r="I738" s="211" t="str">
        <f>I726</f>
        <v>26" nb</v>
      </c>
      <c r="J738" s="195"/>
      <c r="K738" s="221">
        <v>2</v>
      </c>
      <c r="L738" s="195" t="s">
        <v>50</v>
      </c>
      <c r="M738" s="204">
        <v>0</v>
      </c>
      <c r="N738" s="195" t="s">
        <v>50</v>
      </c>
      <c r="O738" s="233"/>
      <c r="P738" s="195" t="s">
        <v>112</v>
      </c>
      <c r="Q738" s="227">
        <f t="shared" ref="Q738:Q740" si="176">M738*O738</f>
        <v>0</v>
      </c>
      <c r="R738" s="226">
        <v>1</v>
      </c>
      <c r="S738" s="227">
        <f t="shared" si="174"/>
        <v>1</v>
      </c>
      <c r="T738" s="230" t="s">
        <v>48</v>
      </c>
      <c r="U738" s="183" t="str">
        <f t="shared" si="172"/>
        <v>1 Hrs</v>
      </c>
    </row>
    <row r="739" spans="3:21" s="172" customFormat="1" ht="20.25" customHeight="1">
      <c r="C739" s="185"/>
      <c r="D739" s="190">
        <f t="shared" si="159"/>
        <v>739</v>
      </c>
      <c r="E739" s="194" t="s">
        <v>104</v>
      </c>
      <c r="F739" s="198">
        <f t="shared" ref="F739:F740" si="177">D738</f>
        <v>738</v>
      </c>
      <c r="G739" s="193" t="s">
        <v>44</v>
      </c>
      <c r="H739" s="193"/>
      <c r="I739" s="211" t="str">
        <f>I727</f>
        <v>2"nb</v>
      </c>
      <c r="J739" s="195"/>
      <c r="K739" s="221">
        <v>2</v>
      </c>
      <c r="L739" s="195" t="s">
        <v>50</v>
      </c>
      <c r="M739" s="204">
        <v>0</v>
      </c>
      <c r="N739" s="195" t="s">
        <v>50</v>
      </c>
      <c r="O739" s="233"/>
      <c r="P739" s="195" t="s">
        <v>112</v>
      </c>
      <c r="Q739" s="227">
        <f t="shared" si="176"/>
        <v>0</v>
      </c>
      <c r="R739" s="226">
        <v>1</v>
      </c>
      <c r="S739" s="227">
        <f t="shared" si="174"/>
        <v>1</v>
      </c>
      <c r="T739" s="230" t="s">
        <v>48</v>
      </c>
      <c r="U739" s="183" t="str">
        <f t="shared" si="172"/>
        <v>1 Hrs</v>
      </c>
    </row>
    <row r="740" spans="3:21" s="172" customFormat="1" ht="20.25" customHeight="1">
      <c r="C740" s="185"/>
      <c r="D740" s="190">
        <f t="shared" si="159"/>
        <v>740</v>
      </c>
      <c r="E740" s="194" t="s">
        <v>109</v>
      </c>
      <c r="F740" s="198">
        <f t="shared" si="177"/>
        <v>739</v>
      </c>
      <c r="G740" s="193" t="s">
        <v>44</v>
      </c>
      <c r="H740" s="193"/>
      <c r="I740" s="195"/>
      <c r="J740" s="195"/>
      <c r="K740" s="221">
        <v>4</v>
      </c>
      <c r="L740" s="195" t="s">
        <v>50</v>
      </c>
      <c r="M740" s="204">
        <v>0</v>
      </c>
      <c r="N740" s="195" t="s">
        <v>50</v>
      </c>
      <c r="O740" s="205"/>
      <c r="P740" s="195" t="s">
        <v>112</v>
      </c>
      <c r="Q740" s="227">
        <f t="shared" si="176"/>
        <v>0</v>
      </c>
      <c r="R740" s="226">
        <v>1</v>
      </c>
      <c r="S740" s="227">
        <f t="shared" si="174"/>
        <v>1</v>
      </c>
      <c r="T740" s="230" t="s">
        <v>48</v>
      </c>
      <c r="U740" s="183" t="str">
        <f t="shared" si="172"/>
        <v>1 Hrs</v>
      </c>
    </row>
    <row r="741" spans="3:21" s="172" customFormat="1" ht="20.25" customHeight="1">
      <c r="C741" s="185">
        <f>D741</f>
        <v>741</v>
      </c>
      <c r="D741" s="190">
        <f t="shared" si="159"/>
        <v>741</v>
      </c>
      <c r="E741" s="191" t="s">
        <v>132</v>
      </c>
      <c r="F741" s="197">
        <f>D737</f>
        <v>737</v>
      </c>
      <c r="G741" s="193"/>
      <c r="H741" s="193"/>
      <c r="I741" s="195"/>
      <c r="J741" s="195"/>
      <c r="K741" s="221"/>
      <c r="L741" s="195"/>
      <c r="M741" s="204"/>
      <c r="N741" s="195"/>
      <c r="O741" s="205"/>
      <c r="P741" s="195"/>
      <c r="Q741" s="227"/>
      <c r="R741" s="226"/>
      <c r="S741" s="227"/>
      <c r="T741" s="203"/>
      <c r="U741" s="183"/>
    </row>
    <row r="742" spans="3:21" s="172" customFormat="1" ht="20.25" customHeight="1">
      <c r="C742" s="185"/>
      <c r="D742" s="190">
        <f t="shared" si="159"/>
        <v>742</v>
      </c>
      <c r="E742" s="194" t="s">
        <v>125</v>
      </c>
      <c r="F742" s="198"/>
      <c r="G742" s="193" t="s">
        <v>121</v>
      </c>
      <c r="H742" s="193"/>
      <c r="I742" s="211" t="s">
        <v>123</v>
      </c>
      <c r="J742" s="195" t="str">
        <f>J730</f>
        <v>3054 mm</v>
      </c>
      <c r="K742" s="221">
        <v>2</v>
      </c>
      <c r="L742" s="195" t="s">
        <v>50</v>
      </c>
      <c r="M742" s="214">
        <f>LEFT(J742,SEARCH(" ",J742,1)-1)*K742*0.001</f>
        <v>6.1080000000000005</v>
      </c>
      <c r="N742" s="195" t="s">
        <v>50</v>
      </c>
      <c r="O742" s="233">
        <v>1</v>
      </c>
      <c r="P742" s="195" t="s">
        <v>112</v>
      </c>
      <c r="Q742" s="227">
        <f t="shared" ref="Q742:Q744" si="178">M742*O742</f>
        <v>6.1080000000000005</v>
      </c>
      <c r="R742" s="226">
        <v>1</v>
      </c>
      <c r="S742" s="227">
        <f t="shared" si="174"/>
        <v>7.11</v>
      </c>
      <c r="T742" s="230" t="s">
        <v>48</v>
      </c>
      <c r="U742" s="183" t="str">
        <f t="shared" si="172"/>
        <v>7.11 Hrs</v>
      </c>
    </row>
    <row r="743" spans="3:21" s="172" customFormat="1" ht="20.25" customHeight="1">
      <c r="C743" s="185"/>
      <c r="D743" s="190">
        <f t="shared" si="159"/>
        <v>743</v>
      </c>
      <c r="E743" s="194" t="s">
        <v>104</v>
      </c>
      <c r="F743" s="198">
        <f t="shared" ref="F743:F744" si="179">D742</f>
        <v>742</v>
      </c>
      <c r="G743" s="193" t="s">
        <v>121</v>
      </c>
      <c r="H743" s="193"/>
      <c r="I743" s="211">
        <v>18</v>
      </c>
      <c r="J743" s="198" t="str">
        <f>J731</f>
        <v>272 MM</v>
      </c>
      <c r="K743" s="221">
        <v>2</v>
      </c>
      <c r="L743" s="195" t="s">
        <v>50</v>
      </c>
      <c r="M743" s="214">
        <f>LEFT(J743,SEARCH(" ",J743,1)-1)*K743*0.001</f>
        <v>0.54400000000000004</v>
      </c>
      <c r="N743" s="195" t="s">
        <v>50</v>
      </c>
      <c r="O743" s="233">
        <v>0.5</v>
      </c>
      <c r="P743" s="195" t="s">
        <v>112</v>
      </c>
      <c r="Q743" s="227">
        <f t="shared" si="178"/>
        <v>0.27200000000000002</v>
      </c>
      <c r="R743" s="226">
        <v>1</v>
      </c>
      <c r="S743" s="227">
        <f t="shared" si="174"/>
        <v>1.27</v>
      </c>
      <c r="T743" s="230" t="s">
        <v>48</v>
      </c>
      <c r="U743" s="183" t="str">
        <f t="shared" si="172"/>
        <v>1.27 Hrs</v>
      </c>
    </row>
    <row r="744" spans="3:21" s="172" customFormat="1" ht="20.25" customHeight="1">
      <c r="C744" s="185"/>
      <c r="D744" s="190">
        <f t="shared" si="159"/>
        <v>744</v>
      </c>
      <c r="E744" s="194" t="s">
        <v>109</v>
      </c>
      <c r="F744" s="198">
        <f t="shared" si="179"/>
        <v>743</v>
      </c>
      <c r="G744" s="193" t="s">
        <v>121</v>
      </c>
      <c r="H744" s="193"/>
      <c r="I744" s="195"/>
      <c r="J744" s="195"/>
      <c r="K744" s="221">
        <v>4</v>
      </c>
      <c r="L744" s="195" t="s">
        <v>50</v>
      </c>
      <c r="M744" s="204">
        <v>1</v>
      </c>
      <c r="N744" s="195" t="s">
        <v>50</v>
      </c>
      <c r="O744" s="205">
        <v>1</v>
      </c>
      <c r="P744" s="195" t="s">
        <v>112</v>
      </c>
      <c r="Q744" s="227">
        <f t="shared" si="178"/>
        <v>1</v>
      </c>
      <c r="R744" s="226">
        <v>1</v>
      </c>
      <c r="S744" s="227">
        <f t="shared" si="174"/>
        <v>2</v>
      </c>
      <c r="T744" s="230" t="s">
        <v>48</v>
      </c>
      <c r="U744" s="183" t="str">
        <f t="shared" si="172"/>
        <v>2 Hrs</v>
      </c>
    </row>
    <row r="745" spans="3:21" s="172" customFormat="1" ht="20.25" customHeight="1">
      <c r="C745" s="185">
        <f t="shared" ref="C745:C746" si="180">D745</f>
        <v>745</v>
      </c>
      <c r="D745" s="190">
        <f t="shared" si="159"/>
        <v>745</v>
      </c>
      <c r="E745" s="191" t="s">
        <v>133</v>
      </c>
      <c r="F745" s="197"/>
      <c r="G745" s="193"/>
      <c r="H745" s="193"/>
      <c r="I745" s="195"/>
      <c r="J745" s="195"/>
      <c r="K745" s="221"/>
      <c r="L745" s="195"/>
      <c r="M745" s="204"/>
      <c r="N745" s="195"/>
      <c r="O745" s="205"/>
      <c r="P745" s="195"/>
      <c r="Q745" s="227"/>
      <c r="R745" s="226"/>
      <c r="S745" s="227"/>
      <c r="T745" s="203"/>
      <c r="U745" s="183"/>
    </row>
    <row r="746" spans="3:21" s="172" customFormat="1" ht="20.25" customHeight="1">
      <c r="C746" s="185">
        <f t="shared" si="180"/>
        <v>746</v>
      </c>
      <c r="D746" s="190">
        <f t="shared" si="159"/>
        <v>746</v>
      </c>
      <c r="E746" s="191" t="s">
        <v>134</v>
      </c>
      <c r="F746" s="197">
        <f>D745</f>
        <v>745</v>
      </c>
      <c r="G746" s="193"/>
      <c r="H746" s="193"/>
      <c r="I746" s="195"/>
      <c r="J746" s="195"/>
      <c r="K746" s="221"/>
      <c r="L746" s="195"/>
      <c r="M746" s="204"/>
      <c r="N746" s="195"/>
      <c r="O746" s="205"/>
      <c r="P746" s="195"/>
      <c r="Q746" s="227"/>
      <c r="R746" s="226"/>
      <c r="S746" s="227"/>
      <c r="T746" s="203"/>
      <c r="U746" s="183"/>
    </row>
    <row r="747" spans="3:21" s="172" customFormat="1" ht="20.25" customHeight="1">
      <c r="C747" s="185"/>
      <c r="D747" s="190">
        <f t="shared" si="159"/>
        <v>747</v>
      </c>
      <c r="E747" s="194" t="s">
        <v>135</v>
      </c>
      <c r="F747" s="198"/>
      <c r="G747" s="193"/>
      <c r="H747" s="193"/>
      <c r="I747" s="195"/>
      <c r="J747" s="195"/>
      <c r="K747" s="221">
        <v>1</v>
      </c>
      <c r="L747" s="195" t="s">
        <v>84</v>
      </c>
      <c r="M747" s="204">
        <v>1</v>
      </c>
      <c r="N747" s="195" t="s">
        <v>84</v>
      </c>
      <c r="O747" s="205">
        <v>4</v>
      </c>
      <c r="P747" s="195" t="s">
        <v>41</v>
      </c>
      <c r="Q747" s="227">
        <f t="shared" ref="Q747:Q750" si="181">M747*O747</f>
        <v>4</v>
      </c>
      <c r="R747" s="226">
        <v>0</v>
      </c>
      <c r="S747" s="227">
        <f t="shared" si="174"/>
        <v>4</v>
      </c>
      <c r="T747" s="203" t="s">
        <v>42</v>
      </c>
      <c r="U747" s="183" t="str">
        <f t="shared" si="172"/>
        <v>4 Days</v>
      </c>
    </row>
    <row r="748" spans="3:21" s="172" customFormat="1" ht="20.25" customHeight="1">
      <c r="C748" s="185"/>
      <c r="D748" s="190">
        <f t="shared" si="159"/>
        <v>748</v>
      </c>
      <c r="E748" s="194" t="s">
        <v>136</v>
      </c>
      <c r="F748" s="198">
        <f t="shared" ref="F748:F750" si="182">D747</f>
        <v>747</v>
      </c>
      <c r="G748" s="193" t="s">
        <v>44</v>
      </c>
      <c r="H748" s="193"/>
      <c r="I748" s="211" t="s">
        <v>137</v>
      </c>
      <c r="J748" s="221" t="s">
        <v>138</v>
      </c>
      <c r="K748" s="221">
        <v>1</v>
      </c>
      <c r="L748" s="195" t="s">
        <v>84</v>
      </c>
      <c r="M748" s="214">
        <f>LEFT(J748,SEARCH(" ",J748,1)-1)*K748</f>
        <v>9</v>
      </c>
      <c r="N748" s="195" t="s">
        <v>139</v>
      </c>
      <c r="O748" s="233">
        <v>0.25</v>
      </c>
      <c r="P748" s="195" t="s">
        <v>112</v>
      </c>
      <c r="Q748" s="227">
        <f t="shared" si="181"/>
        <v>2.25</v>
      </c>
      <c r="R748" s="226">
        <v>1</v>
      </c>
      <c r="S748" s="227">
        <f t="shared" si="174"/>
        <v>3.25</v>
      </c>
      <c r="T748" s="230" t="s">
        <v>48</v>
      </c>
      <c r="U748" s="183" t="str">
        <f t="shared" si="172"/>
        <v>3.25 Hrs</v>
      </c>
    </row>
    <row r="749" spans="3:21" s="172" customFormat="1" ht="20.25" customHeight="1">
      <c r="C749" s="185"/>
      <c r="D749" s="190">
        <f t="shared" si="159"/>
        <v>749</v>
      </c>
      <c r="E749" s="194" t="s">
        <v>140</v>
      </c>
      <c r="F749" s="198">
        <f t="shared" si="182"/>
        <v>748</v>
      </c>
      <c r="G749" s="193" t="s">
        <v>44</v>
      </c>
      <c r="H749" s="193"/>
      <c r="I749" s="211" t="str">
        <f>I748</f>
        <v>30/25</v>
      </c>
      <c r="J749" s="221" t="s">
        <v>141</v>
      </c>
      <c r="K749" s="212">
        <v>1</v>
      </c>
      <c r="L749" s="195" t="s">
        <v>84</v>
      </c>
      <c r="M749" s="214">
        <f t="shared" ref="M749:M750" si="183">LEFT(J749,SEARCH(" ",J749,1)-1)*K749</f>
        <v>29</v>
      </c>
      <c r="N749" s="195" t="s">
        <v>139</v>
      </c>
      <c r="O749" s="233">
        <v>0.25</v>
      </c>
      <c r="P749" s="195" t="s">
        <v>112</v>
      </c>
      <c r="Q749" s="227">
        <f t="shared" si="181"/>
        <v>7.25</v>
      </c>
      <c r="R749" s="226">
        <v>1</v>
      </c>
      <c r="S749" s="227">
        <f t="shared" si="174"/>
        <v>8.25</v>
      </c>
      <c r="T749" s="230" t="s">
        <v>48</v>
      </c>
      <c r="U749" s="183" t="str">
        <f t="shared" si="172"/>
        <v>8.25 Hrs</v>
      </c>
    </row>
    <row r="750" spans="3:21" s="172" customFormat="1" ht="20.25" customHeight="1">
      <c r="C750" s="185"/>
      <c r="D750" s="190">
        <f t="shared" si="159"/>
        <v>750</v>
      </c>
      <c r="E750" s="194" t="s">
        <v>142</v>
      </c>
      <c r="F750" s="198">
        <f t="shared" si="182"/>
        <v>749</v>
      </c>
      <c r="G750" s="193" t="s">
        <v>44</v>
      </c>
      <c r="H750" s="193"/>
      <c r="I750" s="211">
        <v>25</v>
      </c>
      <c r="J750" s="221" t="s">
        <v>143</v>
      </c>
      <c r="K750" s="221">
        <v>1</v>
      </c>
      <c r="L750" s="195" t="s">
        <v>84</v>
      </c>
      <c r="M750" s="214">
        <f t="shared" si="183"/>
        <v>10.5</v>
      </c>
      <c r="N750" s="195" t="s">
        <v>139</v>
      </c>
      <c r="O750" s="233">
        <v>0.25</v>
      </c>
      <c r="P750" s="195" t="s">
        <v>112</v>
      </c>
      <c r="Q750" s="227">
        <f t="shared" si="181"/>
        <v>2.625</v>
      </c>
      <c r="R750" s="226">
        <v>1</v>
      </c>
      <c r="S750" s="227">
        <f t="shared" si="174"/>
        <v>3.63</v>
      </c>
      <c r="T750" s="230" t="s">
        <v>48</v>
      </c>
      <c r="U750" s="183" t="str">
        <f t="shared" si="172"/>
        <v>3.63 Hrs</v>
      </c>
    </row>
    <row r="751" spans="3:21" s="172" customFormat="1" ht="20.25" customHeight="1">
      <c r="C751" s="185">
        <f>D751</f>
        <v>751</v>
      </c>
      <c r="D751" s="190">
        <f t="shared" si="159"/>
        <v>751</v>
      </c>
      <c r="E751" s="191" t="s">
        <v>144</v>
      </c>
      <c r="F751" s="197">
        <f>D746</f>
        <v>746</v>
      </c>
      <c r="G751" s="193"/>
      <c r="H751" s="193"/>
      <c r="I751" s="195"/>
      <c r="J751" s="195"/>
      <c r="K751" s="221"/>
      <c r="L751" s="195"/>
      <c r="M751" s="204"/>
      <c r="N751" s="195"/>
      <c r="O751" s="205"/>
      <c r="P751" s="195"/>
      <c r="Q751" s="227"/>
      <c r="R751" s="226"/>
      <c r="S751" s="227"/>
      <c r="T751" s="203"/>
      <c r="U751" s="183"/>
    </row>
    <row r="752" spans="3:21" s="172" customFormat="1" ht="20.25" customHeight="1">
      <c r="C752" s="185"/>
      <c r="D752" s="190">
        <f t="shared" si="159"/>
        <v>752</v>
      </c>
      <c r="E752" s="194" t="s">
        <v>145</v>
      </c>
      <c r="F752" s="198"/>
      <c r="G752" s="193" t="s">
        <v>52</v>
      </c>
      <c r="H752" s="193"/>
      <c r="I752" s="220" t="str">
        <f t="shared" ref="I752:J752" si="184">I748</f>
        <v>30/25</v>
      </c>
      <c r="J752" s="198" t="str">
        <f t="shared" si="184"/>
        <v>9 rmt</v>
      </c>
      <c r="K752" s="212">
        <f t="shared" ref="K752" si="185">K748</f>
        <v>1</v>
      </c>
      <c r="L752" s="195" t="s">
        <v>81</v>
      </c>
      <c r="M752" s="214">
        <f t="shared" ref="M752:M754" si="186">LEFT(J752,SEARCH(" ",J752,1)-1)*K752</f>
        <v>9</v>
      </c>
      <c r="N752" s="195" t="s">
        <v>139</v>
      </c>
      <c r="O752" s="233">
        <v>0.5</v>
      </c>
      <c r="P752" s="195" t="s">
        <v>112</v>
      </c>
      <c r="Q752" s="227">
        <f t="shared" ref="Q752:Q755" si="187">M752*O752</f>
        <v>4.5</v>
      </c>
      <c r="R752" s="226">
        <v>1</v>
      </c>
      <c r="S752" s="227">
        <f t="shared" si="174"/>
        <v>5.5</v>
      </c>
      <c r="T752" s="203" t="s">
        <v>48</v>
      </c>
      <c r="U752" s="183" t="str">
        <f t="shared" si="172"/>
        <v>5.5 Hrs</v>
      </c>
    </row>
    <row r="753" spans="3:21" s="172" customFormat="1" ht="20.25" customHeight="1">
      <c r="C753" s="185"/>
      <c r="D753" s="190">
        <f t="shared" si="159"/>
        <v>753</v>
      </c>
      <c r="E753" s="194" t="s">
        <v>146</v>
      </c>
      <c r="F753" s="198">
        <f t="shared" ref="F753:F755" si="188">D752</f>
        <v>752</v>
      </c>
      <c r="G753" s="193" t="s">
        <v>52</v>
      </c>
      <c r="H753" s="193"/>
      <c r="I753" s="220" t="str">
        <f t="shared" ref="I753:J753" si="189">I749</f>
        <v>30/25</v>
      </c>
      <c r="J753" s="198" t="str">
        <f t="shared" si="189"/>
        <v>29 rmt</v>
      </c>
      <c r="K753" s="212">
        <f t="shared" ref="K753" si="190">K749</f>
        <v>1</v>
      </c>
      <c r="L753" s="195" t="s">
        <v>81</v>
      </c>
      <c r="M753" s="214">
        <f t="shared" si="186"/>
        <v>29</v>
      </c>
      <c r="N753" s="195" t="s">
        <v>139</v>
      </c>
      <c r="O753" s="233">
        <v>0.5</v>
      </c>
      <c r="P753" s="195" t="s">
        <v>112</v>
      </c>
      <c r="Q753" s="227">
        <f t="shared" si="187"/>
        <v>14.5</v>
      </c>
      <c r="R753" s="226">
        <v>1</v>
      </c>
      <c r="S753" s="227">
        <f t="shared" si="174"/>
        <v>15.5</v>
      </c>
      <c r="T753" s="203" t="s">
        <v>48</v>
      </c>
      <c r="U753" s="183" t="str">
        <f t="shared" si="172"/>
        <v>15.5 Hrs</v>
      </c>
    </row>
    <row r="754" spans="3:21" s="172" customFormat="1" ht="20.25" customHeight="1">
      <c r="C754" s="185"/>
      <c r="D754" s="190">
        <f t="shared" si="159"/>
        <v>754</v>
      </c>
      <c r="E754" s="194" t="s">
        <v>147</v>
      </c>
      <c r="F754" s="198">
        <f t="shared" si="188"/>
        <v>753</v>
      </c>
      <c r="G754" s="193" t="s">
        <v>52</v>
      </c>
      <c r="H754" s="193"/>
      <c r="I754" s="220">
        <f t="shared" ref="I754:J754" si="191">I750</f>
        <v>25</v>
      </c>
      <c r="J754" s="198" t="str">
        <f t="shared" si="191"/>
        <v>10.5 Rmt</v>
      </c>
      <c r="K754" s="212">
        <f t="shared" ref="K754" si="192">K750</f>
        <v>1</v>
      </c>
      <c r="L754" s="195" t="s">
        <v>81</v>
      </c>
      <c r="M754" s="214">
        <f t="shared" si="186"/>
        <v>10.5</v>
      </c>
      <c r="N754" s="195" t="s">
        <v>139</v>
      </c>
      <c r="O754" s="233">
        <f>VLOOKUP(I754,BM!$B$3:$Y$62,3,FALSE)</f>
        <v>0.25</v>
      </c>
      <c r="P754" s="195" t="s">
        <v>112</v>
      </c>
      <c r="Q754" s="227">
        <f t="shared" si="187"/>
        <v>2.625</v>
      </c>
      <c r="R754" s="226">
        <v>1</v>
      </c>
      <c r="S754" s="227">
        <f t="shared" si="174"/>
        <v>3.63</v>
      </c>
      <c r="T754" s="203" t="s">
        <v>48</v>
      </c>
      <c r="U754" s="183" t="str">
        <f t="shared" si="172"/>
        <v>3.63 Hrs</v>
      </c>
    </row>
    <row r="755" spans="3:21" s="172" customFormat="1" ht="20.25" customHeight="1">
      <c r="C755" s="185"/>
      <c r="D755" s="190">
        <f t="shared" si="159"/>
        <v>755</v>
      </c>
      <c r="E755" s="194" t="s">
        <v>148</v>
      </c>
      <c r="F755" s="198">
        <f t="shared" si="188"/>
        <v>754</v>
      </c>
      <c r="G755" s="193" t="s">
        <v>149</v>
      </c>
      <c r="H755" s="193"/>
      <c r="I755" s="211">
        <v>25</v>
      </c>
      <c r="J755" s="195"/>
      <c r="K755" s="221"/>
      <c r="L755" s="195"/>
      <c r="M755" s="222">
        <f>M752+M753+M754</f>
        <v>48.5</v>
      </c>
      <c r="N755" s="195" t="s">
        <v>139</v>
      </c>
      <c r="O755" s="233">
        <f>VLOOKUP(I755,BM!$B$3:$Y$62,4,FALSE)</f>
        <v>0.15</v>
      </c>
      <c r="P755" s="195" t="s">
        <v>112</v>
      </c>
      <c r="Q755" s="227">
        <f t="shared" si="187"/>
        <v>7.2749999999999995</v>
      </c>
      <c r="R755" s="226">
        <v>1</v>
      </c>
      <c r="S755" s="227">
        <f t="shared" si="174"/>
        <v>8.2799999999999994</v>
      </c>
      <c r="T755" s="203" t="s">
        <v>48</v>
      </c>
      <c r="U755" s="183" t="str">
        <f t="shared" si="172"/>
        <v>8.28 Hrs</v>
      </c>
    </row>
    <row r="756" spans="3:21" s="172" customFormat="1" ht="20.25" customHeight="1">
      <c r="C756" s="185">
        <f>D756</f>
        <v>756</v>
      </c>
      <c r="D756" s="190">
        <f t="shared" si="159"/>
        <v>756</v>
      </c>
      <c r="E756" s="191" t="s">
        <v>150</v>
      </c>
      <c r="F756" s="197">
        <f>D751</f>
        <v>751</v>
      </c>
      <c r="G756" s="193"/>
      <c r="H756" s="193"/>
      <c r="I756" s="195"/>
      <c r="J756" s="195"/>
      <c r="K756" s="221"/>
      <c r="L756" s="195"/>
      <c r="M756" s="204"/>
      <c r="N756" s="195"/>
      <c r="O756" s="205"/>
      <c r="P756" s="195"/>
      <c r="Q756" s="227"/>
      <c r="R756" s="226"/>
      <c r="S756" s="227"/>
      <c r="T756" s="203"/>
      <c r="U756" s="183"/>
    </row>
    <row r="757" spans="3:21" s="172" customFormat="1" ht="20.25" customHeight="1">
      <c r="C757" s="185"/>
      <c r="D757" s="190">
        <f t="shared" si="159"/>
        <v>757</v>
      </c>
      <c r="E757" s="194" t="s">
        <v>151</v>
      </c>
      <c r="F757" s="198"/>
      <c r="G757" s="193" t="s">
        <v>152</v>
      </c>
      <c r="H757" s="193"/>
      <c r="I757" s="195"/>
      <c r="J757" s="195"/>
      <c r="K757" s="221">
        <v>1</v>
      </c>
      <c r="L757" s="195" t="s">
        <v>84</v>
      </c>
      <c r="M757" s="204">
        <v>1</v>
      </c>
      <c r="N757" s="195" t="s">
        <v>39</v>
      </c>
      <c r="O757" s="205">
        <v>8</v>
      </c>
      <c r="P757" s="195" t="s">
        <v>112</v>
      </c>
      <c r="Q757" s="227">
        <f t="shared" ref="Q757:Q760" si="193">M757*O757</f>
        <v>8</v>
      </c>
      <c r="R757" s="226">
        <v>1</v>
      </c>
      <c r="S757" s="227">
        <f t="shared" si="174"/>
        <v>9</v>
      </c>
      <c r="T757" s="203" t="s">
        <v>48</v>
      </c>
      <c r="U757" s="183" t="str">
        <f t="shared" si="172"/>
        <v>9 Hrs</v>
      </c>
    </row>
    <row r="758" spans="3:21" s="172" customFormat="1" ht="20.25" customHeight="1">
      <c r="C758" s="185"/>
      <c r="D758" s="190">
        <f t="shared" si="159"/>
        <v>758</v>
      </c>
      <c r="E758" s="194" t="s">
        <v>153</v>
      </c>
      <c r="F758" s="198">
        <f t="shared" ref="F758:F760" si="194">D757</f>
        <v>757</v>
      </c>
      <c r="G758" s="193" t="s">
        <v>115</v>
      </c>
      <c r="H758" s="193"/>
      <c r="I758" s="211">
        <v>18</v>
      </c>
      <c r="J758" s="221"/>
      <c r="K758" s="221">
        <v>1</v>
      </c>
      <c r="L758" s="195" t="s">
        <v>84</v>
      </c>
      <c r="M758" s="222">
        <v>4</v>
      </c>
      <c r="N758" s="195" t="s">
        <v>39</v>
      </c>
      <c r="O758" s="216">
        <f>VLOOKUP(I758,BM!$B$3:$Y$62,22,FALSE)</f>
        <v>3.4</v>
      </c>
      <c r="P758" s="195" t="s">
        <v>112</v>
      </c>
      <c r="Q758" s="227">
        <f t="shared" si="193"/>
        <v>13.6</v>
      </c>
      <c r="R758" s="226">
        <v>1</v>
      </c>
      <c r="S758" s="227">
        <f t="shared" si="174"/>
        <v>14.6</v>
      </c>
      <c r="T758" s="203" t="s">
        <v>48</v>
      </c>
      <c r="U758" s="183" t="str">
        <f t="shared" si="172"/>
        <v>14.6 Hrs</v>
      </c>
    </row>
    <row r="759" spans="3:21" s="172" customFormat="1" ht="20.25" customHeight="1">
      <c r="C759" s="185"/>
      <c r="D759" s="190">
        <f t="shared" si="159"/>
        <v>759</v>
      </c>
      <c r="E759" s="194" t="s">
        <v>154</v>
      </c>
      <c r="F759" s="198">
        <f t="shared" si="194"/>
        <v>758</v>
      </c>
      <c r="G759" s="193" t="s">
        <v>152</v>
      </c>
      <c r="H759" s="193"/>
      <c r="I759" s="195"/>
      <c r="J759" s="195"/>
      <c r="K759" s="221">
        <v>1</v>
      </c>
      <c r="L759" s="195" t="s">
        <v>84</v>
      </c>
      <c r="M759" s="204">
        <v>1</v>
      </c>
      <c r="N759" s="195" t="s">
        <v>39</v>
      </c>
      <c r="O759" s="205">
        <v>8</v>
      </c>
      <c r="P759" s="195" t="s">
        <v>112</v>
      </c>
      <c r="Q759" s="227">
        <f t="shared" si="193"/>
        <v>8</v>
      </c>
      <c r="R759" s="226">
        <v>1</v>
      </c>
      <c r="S759" s="227">
        <f t="shared" si="174"/>
        <v>9</v>
      </c>
      <c r="T759" s="203" t="s">
        <v>48</v>
      </c>
      <c r="U759" s="183" t="str">
        <f t="shared" si="172"/>
        <v>9 Hrs</v>
      </c>
    </row>
    <row r="760" spans="3:21" s="172" customFormat="1" ht="20.25" customHeight="1">
      <c r="C760" s="185"/>
      <c r="D760" s="190">
        <f t="shared" si="159"/>
        <v>760</v>
      </c>
      <c r="E760" s="194" t="s">
        <v>155</v>
      </c>
      <c r="F760" s="198">
        <f t="shared" si="194"/>
        <v>759</v>
      </c>
      <c r="G760" s="193" t="s">
        <v>156</v>
      </c>
      <c r="H760" s="193"/>
      <c r="I760" s="211">
        <v>18</v>
      </c>
      <c r="J760" s="221"/>
      <c r="K760" s="221">
        <v>1</v>
      </c>
      <c r="L760" s="195" t="s">
        <v>84</v>
      </c>
      <c r="M760" s="222">
        <v>24.8</v>
      </c>
      <c r="N760" s="195" t="s">
        <v>39</v>
      </c>
      <c r="O760" s="216">
        <f>VLOOKUP(I760,BM!$B$3:$Y$62,22,FALSE)</f>
        <v>3.4</v>
      </c>
      <c r="P760" s="195" t="s">
        <v>112</v>
      </c>
      <c r="Q760" s="227">
        <f t="shared" si="193"/>
        <v>84.32</v>
      </c>
      <c r="R760" s="226">
        <v>1</v>
      </c>
      <c r="S760" s="227">
        <f t="shared" si="174"/>
        <v>85.32</v>
      </c>
      <c r="T760" s="203" t="s">
        <v>48</v>
      </c>
      <c r="U760" s="183" t="str">
        <f t="shared" si="172"/>
        <v>85.32 Hrs</v>
      </c>
    </row>
    <row r="761" spans="3:21" s="172" customFormat="1" ht="20.25" customHeight="1">
      <c r="C761" s="185">
        <f>D761</f>
        <v>761</v>
      </c>
      <c r="D761" s="190">
        <f t="shared" si="159"/>
        <v>761</v>
      </c>
      <c r="E761" s="191" t="s">
        <v>157</v>
      </c>
      <c r="F761" s="197">
        <f>D756</f>
        <v>756</v>
      </c>
      <c r="G761" s="193"/>
      <c r="H761" s="193"/>
      <c r="I761" s="195"/>
      <c r="J761" s="195"/>
      <c r="K761" s="221"/>
      <c r="L761" s="195"/>
      <c r="M761" s="204"/>
      <c r="N761" s="195"/>
      <c r="O761" s="205"/>
      <c r="P761" s="195"/>
      <c r="Q761" s="227"/>
      <c r="R761" s="226"/>
      <c r="S761" s="227"/>
      <c r="T761" s="203"/>
      <c r="U761" s="183"/>
    </row>
    <row r="762" spans="3:21" s="172" customFormat="1" ht="20.25" customHeight="1">
      <c r="C762" s="185"/>
      <c r="D762" s="190">
        <f t="shared" si="159"/>
        <v>762</v>
      </c>
      <c r="E762" s="194" t="s">
        <v>158</v>
      </c>
      <c r="F762" s="198"/>
      <c r="G762" s="193" t="s">
        <v>159</v>
      </c>
      <c r="H762" s="193"/>
      <c r="I762" s="195"/>
      <c r="J762" s="195"/>
      <c r="K762" s="221">
        <v>1</v>
      </c>
      <c r="L762" s="195" t="s">
        <v>160</v>
      </c>
      <c r="M762" s="204">
        <v>1</v>
      </c>
      <c r="N762" s="195" t="s">
        <v>160</v>
      </c>
      <c r="O762" s="205">
        <v>4</v>
      </c>
      <c r="P762" s="195" t="s">
        <v>41</v>
      </c>
      <c r="Q762" s="227">
        <f t="shared" ref="Q762:Q775" si="195">M762*O762</f>
        <v>4</v>
      </c>
      <c r="R762" s="226"/>
      <c r="S762" s="227">
        <f t="shared" si="174"/>
        <v>4</v>
      </c>
      <c r="T762" s="203" t="s">
        <v>42</v>
      </c>
      <c r="U762" s="183" t="str">
        <f t="shared" si="172"/>
        <v>4 Days</v>
      </c>
    </row>
    <row r="763" spans="3:21" s="172" customFormat="1" ht="20.25" customHeight="1">
      <c r="C763" s="185"/>
      <c r="D763" s="190">
        <f t="shared" si="159"/>
        <v>763</v>
      </c>
      <c r="E763" s="194" t="s">
        <v>161</v>
      </c>
      <c r="F763" s="198">
        <f t="shared" ref="F763:F775" si="196">D762</f>
        <v>762</v>
      </c>
      <c r="G763" s="193" t="s">
        <v>44</v>
      </c>
      <c r="H763" s="193"/>
      <c r="I763" s="195"/>
      <c r="J763" s="195"/>
      <c r="K763" s="221">
        <v>6</v>
      </c>
      <c r="L763" s="195" t="s">
        <v>81</v>
      </c>
      <c r="M763" s="204">
        <v>6</v>
      </c>
      <c r="N763" s="195" t="s">
        <v>81</v>
      </c>
      <c r="O763" s="205">
        <v>0.5</v>
      </c>
      <c r="P763" s="195" t="s">
        <v>162</v>
      </c>
      <c r="Q763" s="227">
        <f t="shared" si="195"/>
        <v>3</v>
      </c>
      <c r="R763" s="226"/>
      <c r="S763" s="227">
        <f t="shared" si="174"/>
        <v>3</v>
      </c>
      <c r="T763" s="203" t="s">
        <v>48</v>
      </c>
      <c r="U763" s="183" t="str">
        <f t="shared" si="172"/>
        <v>3 Hrs</v>
      </c>
    </row>
    <row r="764" spans="3:21" s="172" customFormat="1" ht="20.25" customHeight="1">
      <c r="C764" s="185"/>
      <c r="D764" s="190">
        <f t="shared" si="159"/>
        <v>764</v>
      </c>
      <c r="E764" s="194" t="s">
        <v>163</v>
      </c>
      <c r="F764" s="198">
        <f t="shared" si="196"/>
        <v>763</v>
      </c>
      <c r="G764" s="193" t="s">
        <v>44</v>
      </c>
      <c r="H764" s="193"/>
      <c r="I764" s="211">
        <v>16</v>
      </c>
      <c r="J764" s="195"/>
      <c r="K764" s="221">
        <v>4</v>
      </c>
      <c r="L764" s="195" t="s">
        <v>81</v>
      </c>
      <c r="M764" s="222">
        <f>K764</f>
        <v>4</v>
      </c>
      <c r="N764" s="195" t="s">
        <v>81</v>
      </c>
      <c r="O764" s="205">
        <v>0.5</v>
      </c>
      <c r="P764" s="195" t="s">
        <v>162</v>
      </c>
      <c r="Q764" s="227">
        <f t="shared" si="195"/>
        <v>2</v>
      </c>
      <c r="R764" s="226"/>
      <c r="S764" s="227">
        <f t="shared" si="174"/>
        <v>2</v>
      </c>
      <c r="T764" s="203" t="s">
        <v>48</v>
      </c>
      <c r="U764" s="183" t="str">
        <f t="shared" si="172"/>
        <v>2 Hrs</v>
      </c>
    </row>
    <row r="765" spans="3:21" s="172" customFormat="1" ht="20.25" customHeight="1">
      <c r="C765" s="185"/>
      <c r="D765" s="190">
        <f t="shared" si="159"/>
        <v>765</v>
      </c>
      <c r="E765" s="194" t="s">
        <v>164</v>
      </c>
      <c r="F765" s="198">
        <f t="shared" si="196"/>
        <v>764</v>
      </c>
      <c r="G765" s="193" t="s">
        <v>44</v>
      </c>
      <c r="H765" s="193"/>
      <c r="I765" s="211">
        <v>16</v>
      </c>
      <c r="J765" s="195"/>
      <c r="K765" s="221">
        <v>4</v>
      </c>
      <c r="L765" s="195" t="s">
        <v>81</v>
      </c>
      <c r="M765" s="222">
        <f>K765</f>
        <v>4</v>
      </c>
      <c r="N765" s="195" t="s">
        <v>81</v>
      </c>
      <c r="O765" s="205">
        <v>0.5</v>
      </c>
      <c r="P765" s="195" t="s">
        <v>162</v>
      </c>
      <c r="Q765" s="227">
        <f t="shared" si="195"/>
        <v>2</v>
      </c>
      <c r="R765" s="226"/>
      <c r="S765" s="227">
        <f t="shared" si="174"/>
        <v>2</v>
      </c>
      <c r="T765" s="203" t="s">
        <v>48</v>
      </c>
      <c r="U765" s="183" t="str">
        <f t="shared" si="172"/>
        <v>2 Hrs</v>
      </c>
    </row>
    <row r="766" spans="3:21" s="172" customFormat="1" ht="20.25" customHeight="1">
      <c r="C766" s="185"/>
      <c r="D766" s="190">
        <f t="shared" si="159"/>
        <v>766</v>
      </c>
      <c r="E766" s="194" t="s">
        <v>165</v>
      </c>
      <c r="F766" s="198">
        <f t="shared" si="196"/>
        <v>765</v>
      </c>
      <c r="G766" s="193" t="s">
        <v>44</v>
      </c>
      <c r="H766" s="193"/>
      <c r="I766" s="211">
        <v>30</v>
      </c>
      <c r="J766" s="195"/>
      <c r="K766" s="221">
        <v>2</v>
      </c>
      <c r="L766" s="195" t="s">
        <v>81</v>
      </c>
      <c r="M766" s="222">
        <f>K766</f>
        <v>2</v>
      </c>
      <c r="N766" s="195" t="s">
        <v>81</v>
      </c>
      <c r="O766" s="205">
        <v>0.5</v>
      </c>
      <c r="P766" s="195" t="s">
        <v>162</v>
      </c>
      <c r="Q766" s="227">
        <f t="shared" si="195"/>
        <v>1</v>
      </c>
      <c r="R766" s="226"/>
      <c r="S766" s="227">
        <f t="shared" si="174"/>
        <v>1</v>
      </c>
      <c r="T766" s="203" t="s">
        <v>48</v>
      </c>
      <c r="U766" s="183" t="str">
        <f t="shared" si="172"/>
        <v>1 Hrs</v>
      </c>
    </row>
    <row r="767" spans="3:21" s="172" customFormat="1" ht="20.25" customHeight="1">
      <c r="C767" s="185"/>
      <c r="D767" s="190">
        <f t="shared" si="159"/>
        <v>767</v>
      </c>
      <c r="E767" s="194" t="s">
        <v>166</v>
      </c>
      <c r="F767" s="198">
        <f t="shared" si="196"/>
        <v>766</v>
      </c>
      <c r="G767" s="193" t="s">
        <v>52</v>
      </c>
      <c r="H767" s="193"/>
      <c r="I767" s="195"/>
      <c r="J767" s="195"/>
      <c r="K767" s="221">
        <v>6</v>
      </c>
      <c r="L767" s="195" t="s">
        <v>81</v>
      </c>
      <c r="M767" s="222">
        <f>K767</f>
        <v>6</v>
      </c>
      <c r="N767" s="195" t="s">
        <v>81</v>
      </c>
      <c r="O767" s="205">
        <v>0.5</v>
      </c>
      <c r="P767" s="195" t="s">
        <v>162</v>
      </c>
      <c r="Q767" s="227">
        <f t="shared" si="195"/>
        <v>3</v>
      </c>
      <c r="R767" s="226"/>
      <c r="S767" s="227">
        <f t="shared" si="174"/>
        <v>3</v>
      </c>
      <c r="T767" s="203" t="s">
        <v>48</v>
      </c>
      <c r="U767" s="183" t="str">
        <f t="shared" si="172"/>
        <v>3 Hrs</v>
      </c>
    </row>
    <row r="768" spans="3:21" s="172" customFormat="1" ht="20.25" customHeight="1">
      <c r="C768" s="185"/>
      <c r="D768" s="190">
        <f t="shared" si="159"/>
        <v>768</v>
      </c>
      <c r="E768" s="194" t="s">
        <v>167</v>
      </c>
      <c r="F768" s="198">
        <f t="shared" si="196"/>
        <v>767</v>
      </c>
      <c r="G768" s="193" t="s">
        <v>52</v>
      </c>
      <c r="H768" s="193"/>
      <c r="I768" s="195"/>
      <c r="J768" s="195"/>
      <c r="K768" s="221">
        <v>4</v>
      </c>
      <c r="L768" s="195" t="s">
        <v>81</v>
      </c>
      <c r="M768" s="222">
        <f t="shared" ref="M768:M775" si="197">K768</f>
        <v>4</v>
      </c>
      <c r="N768" s="195" t="s">
        <v>81</v>
      </c>
      <c r="O768" s="205">
        <v>0.5</v>
      </c>
      <c r="P768" s="195" t="s">
        <v>162</v>
      </c>
      <c r="Q768" s="227">
        <f t="shared" si="195"/>
        <v>2</v>
      </c>
      <c r="R768" s="226"/>
      <c r="S768" s="227">
        <f t="shared" si="174"/>
        <v>2</v>
      </c>
      <c r="T768" s="203" t="s">
        <v>48</v>
      </c>
      <c r="U768" s="183" t="str">
        <f t="shared" si="172"/>
        <v>2 Hrs</v>
      </c>
    </row>
    <row r="769" spans="3:21" s="172" customFormat="1" ht="20.25" customHeight="1">
      <c r="C769" s="185"/>
      <c r="D769" s="190">
        <f t="shared" si="159"/>
        <v>769</v>
      </c>
      <c r="E769" s="194" t="s">
        <v>168</v>
      </c>
      <c r="F769" s="198">
        <f t="shared" si="196"/>
        <v>768</v>
      </c>
      <c r="G769" s="193" t="s">
        <v>44</v>
      </c>
      <c r="H769" s="193"/>
      <c r="I769" s="195"/>
      <c r="J769" s="195"/>
      <c r="K769" s="221">
        <v>6</v>
      </c>
      <c r="L769" s="195" t="s">
        <v>81</v>
      </c>
      <c r="M769" s="222">
        <f t="shared" si="197"/>
        <v>6</v>
      </c>
      <c r="N769" s="195" t="s">
        <v>81</v>
      </c>
      <c r="O769" s="205">
        <v>0.5</v>
      </c>
      <c r="P769" s="195" t="s">
        <v>162</v>
      </c>
      <c r="Q769" s="227">
        <f t="shared" si="195"/>
        <v>3</v>
      </c>
      <c r="R769" s="226"/>
      <c r="S769" s="227">
        <f t="shared" si="174"/>
        <v>3</v>
      </c>
      <c r="T769" s="203" t="s">
        <v>48</v>
      </c>
      <c r="U769" s="183" t="str">
        <f t="shared" si="172"/>
        <v>3 Hrs</v>
      </c>
    </row>
    <row r="770" spans="3:21" s="172" customFormat="1" ht="20.25" customHeight="1">
      <c r="C770" s="185"/>
      <c r="D770" s="190">
        <f t="shared" si="159"/>
        <v>770</v>
      </c>
      <c r="E770" s="194" t="s">
        <v>169</v>
      </c>
      <c r="F770" s="198">
        <f t="shared" si="196"/>
        <v>769</v>
      </c>
      <c r="G770" s="193" t="s">
        <v>61</v>
      </c>
      <c r="H770" s="193"/>
      <c r="I770" s="195"/>
      <c r="J770" s="195"/>
      <c r="K770" s="221">
        <v>10</v>
      </c>
      <c r="L770" s="195" t="s">
        <v>81</v>
      </c>
      <c r="M770" s="222">
        <f t="shared" si="197"/>
        <v>10</v>
      </c>
      <c r="N770" s="195" t="s">
        <v>81</v>
      </c>
      <c r="O770" s="205">
        <v>0.5</v>
      </c>
      <c r="P770" s="195" t="s">
        <v>162</v>
      </c>
      <c r="Q770" s="227">
        <f t="shared" si="195"/>
        <v>5</v>
      </c>
      <c r="R770" s="226"/>
      <c r="S770" s="227">
        <f t="shared" si="174"/>
        <v>5</v>
      </c>
      <c r="T770" s="203" t="s">
        <v>48</v>
      </c>
      <c r="U770" s="183" t="str">
        <f t="shared" si="172"/>
        <v>5 Hrs</v>
      </c>
    </row>
    <row r="771" spans="3:21" s="172" customFormat="1" ht="20.25" customHeight="1">
      <c r="C771" s="185"/>
      <c r="D771" s="190">
        <f t="shared" ref="D771:D834" si="198">D770+1</f>
        <v>771</v>
      </c>
      <c r="E771" s="194" t="s">
        <v>170</v>
      </c>
      <c r="F771" s="198">
        <f t="shared" si="196"/>
        <v>770</v>
      </c>
      <c r="G771" s="193" t="s">
        <v>61</v>
      </c>
      <c r="H771" s="193"/>
      <c r="I771" s="195"/>
      <c r="J771" s="195"/>
      <c r="K771" s="221">
        <v>2</v>
      </c>
      <c r="L771" s="195" t="s">
        <v>81</v>
      </c>
      <c r="M771" s="222">
        <f t="shared" si="197"/>
        <v>2</v>
      </c>
      <c r="N771" s="195" t="s">
        <v>81</v>
      </c>
      <c r="O771" s="205">
        <v>0.5</v>
      </c>
      <c r="P771" s="195" t="s">
        <v>162</v>
      </c>
      <c r="Q771" s="227">
        <f t="shared" si="195"/>
        <v>1</v>
      </c>
      <c r="R771" s="226"/>
      <c r="S771" s="227">
        <f t="shared" si="174"/>
        <v>1</v>
      </c>
      <c r="T771" s="203" t="s">
        <v>48</v>
      </c>
      <c r="U771" s="183" t="str">
        <f t="shared" si="172"/>
        <v>1 Hrs</v>
      </c>
    </row>
    <row r="772" spans="3:21" s="172" customFormat="1" ht="20.25" customHeight="1">
      <c r="C772" s="185"/>
      <c r="D772" s="190">
        <f t="shared" si="198"/>
        <v>772</v>
      </c>
      <c r="E772" s="194" t="s">
        <v>171</v>
      </c>
      <c r="F772" s="198">
        <f t="shared" si="196"/>
        <v>771</v>
      </c>
      <c r="G772" s="193" t="s">
        <v>172</v>
      </c>
      <c r="H772" s="193"/>
      <c r="I772" s="195"/>
      <c r="J772" s="195"/>
      <c r="K772" s="221">
        <v>2</v>
      </c>
      <c r="L772" s="195" t="s">
        <v>81</v>
      </c>
      <c r="M772" s="222">
        <f t="shared" si="197"/>
        <v>2</v>
      </c>
      <c r="N772" s="195" t="s">
        <v>81</v>
      </c>
      <c r="O772" s="205">
        <v>0.5</v>
      </c>
      <c r="P772" s="195" t="s">
        <v>162</v>
      </c>
      <c r="Q772" s="227">
        <f t="shared" si="195"/>
        <v>1</v>
      </c>
      <c r="R772" s="226"/>
      <c r="S772" s="227">
        <f t="shared" si="174"/>
        <v>1</v>
      </c>
      <c r="T772" s="203" t="s">
        <v>48</v>
      </c>
      <c r="U772" s="183" t="str">
        <f t="shared" si="172"/>
        <v>1 Hrs</v>
      </c>
    </row>
    <row r="773" spans="3:21" s="172" customFormat="1" ht="20.25" customHeight="1">
      <c r="C773" s="185"/>
      <c r="D773" s="190">
        <f t="shared" si="198"/>
        <v>773</v>
      </c>
      <c r="E773" s="194" t="s">
        <v>173</v>
      </c>
      <c r="F773" s="198">
        <f t="shared" si="196"/>
        <v>772</v>
      </c>
      <c r="G773" s="193" t="s">
        <v>115</v>
      </c>
      <c r="H773" s="193"/>
      <c r="I773" s="195"/>
      <c r="J773" s="195"/>
      <c r="K773" s="221">
        <v>2</v>
      </c>
      <c r="L773" s="195" t="s">
        <v>81</v>
      </c>
      <c r="M773" s="222">
        <f t="shared" si="197"/>
        <v>2</v>
      </c>
      <c r="N773" s="195" t="s">
        <v>81</v>
      </c>
      <c r="O773" s="205">
        <v>0.5</v>
      </c>
      <c r="P773" s="195" t="s">
        <v>162</v>
      </c>
      <c r="Q773" s="227">
        <f t="shared" si="195"/>
        <v>1</v>
      </c>
      <c r="R773" s="226"/>
      <c r="S773" s="227">
        <f t="shared" si="174"/>
        <v>1</v>
      </c>
      <c r="T773" s="203" t="s">
        <v>48</v>
      </c>
      <c r="U773" s="183" t="str">
        <f t="shared" si="172"/>
        <v>1 Hrs</v>
      </c>
    </row>
    <row r="774" spans="3:21" s="172" customFormat="1" ht="20.25" customHeight="1">
      <c r="C774" s="185"/>
      <c r="D774" s="190">
        <f t="shared" si="198"/>
        <v>774</v>
      </c>
      <c r="E774" s="194" t="s">
        <v>174</v>
      </c>
      <c r="F774" s="198">
        <f t="shared" si="196"/>
        <v>773</v>
      </c>
      <c r="G774" s="193" t="s">
        <v>115</v>
      </c>
      <c r="H774" s="193"/>
      <c r="I774" s="195"/>
      <c r="J774" s="195"/>
      <c r="K774" s="221">
        <v>2</v>
      </c>
      <c r="L774" s="195" t="s">
        <v>81</v>
      </c>
      <c r="M774" s="222">
        <f t="shared" si="197"/>
        <v>2</v>
      </c>
      <c r="N774" s="195" t="s">
        <v>81</v>
      </c>
      <c r="O774" s="205">
        <v>0.5</v>
      </c>
      <c r="P774" s="195" t="s">
        <v>162</v>
      </c>
      <c r="Q774" s="227">
        <f t="shared" si="195"/>
        <v>1</v>
      </c>
      <c r="R774" s="226"/>
      <c r="S774" s="227">
        <f t="shared" si="174"/>
        <v>1</v>
      </c>
      <c r="T774" s="203" t="s">
        <v>48</v>
      </c>
      <c r="U774" s="183" t="str">
        <f t="shared" si="172"/>
        <v>1 Hrs</v>
      </c>
    </row>
    <row r="775" spans="3:21" s="172" customFormat="1" ht="20.25" customHeight="1">
      <c r="C775" s="185"/>
      <c r="D775" s="190">
        <f t="shared" si="198"/>
        <v>775</v>
      </c>
      <c r="E775" s="194" t="s">
        <v>175</v>
      </c>
      <c r="F775" s="198">
        <f t="shared" si="196"/>
        <v>774</v>
      </c>
      <c r="G775" s="193" t="s">
        <v>44</v>
      </c>
      <c r="H775" s="193"/>
      <c r="I775" s="195"/>
      <c r="J775" s="195"/>
      <c r="K775" s="221">
        <v>4</v>
      </c>
      <c r="L775" s="195" t="s">
        <v>81</v>
      </c>
      <c r="M775" s="222">
        <f t="shared" si="197"/>
        <v>4</v>
      </c>
      <c r="N775" s="195" t="s">
        <v>81</v>
      </c>
      <c r="O775" s="205">
        <v>0.5</v>
      </c>
      <c r="P775" s="195" t="s">
        <v>162</v>
      </c>
      <c r="Q775" s="227">
        <f t="shared" si="195"/>
        <v>2</v>
      </c>
      <c r="R775" s="226"/>
      <c r="S775" s="227">
        <f t="shared" si="174"/>
        <v>2</v>
      </c>
      <c r="T775" s="203" t="s">
        <v>48</v>
      </c>
      <c r="U775" s="183" t="str">
        <f t="shared" si="172"/>
        <v>2 Hrs</v>
      </c>
    </row>
    <row r="776" spans="3:21" s="172" customFormat="1" ht="20.25" customHeight="1">
      <c r="C776" s="185">
        <f>D776</f>
        <v>776</v>
      </c>
      <c r="D776" s="190">
        <f t="shared" si="198"/>
        <v>776</v>
      </c>
      <c r="E776" s="191" t="s">
        <v>176</v>
      </c>
      <c r="F776" s="197">
        <f>D761</f>
        <v>761</v>
      </c>
      <c r="G776" s="193"/>
      <c r="H776" s="193"/>
      <c r="I776" s="195"/>
      <c r="J776" s="195"/>
      <c r="K776" s="221"/>
      <c r="L776" s="195"/>
      <c r="M776" s="204"/>
      <c r="N776" s="195"/>
      <c r="O776" s="205"/>
      <c r="P776" s="195"/>
      <c r="Q776" s="227"/>
      <c r="R776" s="226"/>
      <c r="S776" s="227"/>
      <c r="T776" s="203"/>
      <c r="U776" s="183"/>
    </row>
    <row r="777" spans="3:21" s="172" customFormat="1" ht="20.25" customHeight="1">
      <c r="C777" s="185"/>
      <c r="D777" s="190">
        <f t="shared" si="198"/>
        <v>777</v>
      </c>
      <c r="E777" s="194" t="s">
        <v>135</v>
      </c>
      <c r="F777" s="198"/>
      <c r="G777" s="193"/>
      <c r="H777" s="193"/>
      <c r="I777" s="195"/>
      <c r="J777" s="195"/>
      <c r="K777" s="221">
        <v>1</v>
      </c>
      <c r="L777" s="195" t="s">
        <v>160</v>
      </c>
      <c r="M777" s="204">
        <v>1</v>
      </c>
      <c r="N777" s="195" t="s">
        <v>160</v>
      </c>
      <c r="O777" s="205">
        <v>4</v>
      </c>
      <c r="P777" s="195" t="s">
        <v>177</v>
      </c>
      <c r="Q777" s="227">
        <f t="shared" ref="Q777:Q780" si="199">M777*O777</f>
        <v>4</v>
      </c>
      <c r="R777" s="226"/>
      <c r="S777" s="227">
        <f t="shared" si="174"/>
        <v>4</v>
      </c>
      <c r="T777" s="203" t="s">
        <v>42</v>
      </c>
      <c r="U777" s="183" t="str">
        <f t="shared" si="172"/>
        <v>4 Days</v>
      </c>
    </row>
    <row r="778" spans="3:21" s="172" customFormat="1" ht="20.25" customHeight="1">
      <c r="C778" s="185"/>
      <c r="D778" s="190">
        <f t="shared" si="198"/>
        <v>778</v>
      </c>
      <c r="E778" s="194" t="s">
        <v>178</v>
      </c>
      <c r="F778" s="198">
        <f t="shared" ref="F778:F780" si="200">D777</f>
        <v>777</v>
      </c>
      <c r="G778" s="193" t="s">
        <v>44</v>
      </c>
      <c r="H778" s="193"/>
      <c r="I778" s="211">
        <v>18</v>
      </c>
      <c r="J778" s="195"/>
      <c r="K778" s="221">
        <v>4</v>
      </c>
      <c r="L778" s="195" t="s">
        <v>81</v>
      </c>
      <c r="M778" s="222">
        <f t="shared" ref="M778:M780" si="201">K778</f>
        <v>4</v>
      </c>
      <c r="N778" s="195" t="s">
        <v>81</v>
      </c>
      <c r="O778" s="205">
        <v>0.5</v>
      </c>
      <c r="P778" s="195" t="s">
        <v>162</v>
      </c>
      <c r="Q778" s="227">
        <f t="shared" si="199"/>
        <v>2</v>
      </c>
      <c r="R778" s="226"/>
      <c r="S778" s="227">
        <f t="shared" si="174"/>
        <v>2</v>
      </c>
      <c r="T778" s="203" t="s">
        <v>48</v>
      </c>
      <c r="U778" s="183" t="str">
        <f t="shared" si="172"/>
        <v>2 Hrs</v>
      </c>
    </row>
    <row r="779" spans="3:21" s="172" customFormat="1" ht="20.25" customHeight="1">
      <c r="C779" s="185"/>
      <c r="D779" s="190">
        <f t="shared" si="198"/>
        <v>779</v>
      </c>
      <c r="E779" s="194" t="s">
        <v>179</v>
      </c>
      <c r="F779" s="198">
        <f t="shared" si="200"/>
        <v>778</v>
      </c>
      <c r="G779" s="193" t="s">
        <v>52</v>
      </c>
      <c r="H779" s="193"/>
      <c r="I779" s="195"/>
      <c r="J779" s="195"/>
      <c r="K779" s="221">
        <v>4</v>
      </c>
      <c r="L779" s="195" t="s">
        <v>81</v>
      </c>
      <c r="M779" s="222">
        <f t="shared" si="201"/>
        <v>4</v>
      </c>
      <c r="N779" s="195" t="s">
        <v>81</v>
      </c>
      <c r="O779" s="205">
        <v>0.5</v>
      </c>
      <c r="P779" s="195" t="s">
        <v>162</v>
      </c>
      <c r="Q779" s="227">
        <f t="shared" si="199"/>
        <v>2</v>
      </c>
      <c r="R779" s="226"/>
      <c r="S779" s="227">
        <f t="shared" si="174"/>
        <v>2</v>
      </c>
      <c r="T779" s="203" t="s">
        <v>48</v>
      </c>
      <c r="U779" s="183" t="str">
        <f t="shared" si="172"/>
        <v>2 Hrs</v>
      </c>
    </row>
    <row r="780" spans="3:21" s="172" customFormat="1" ht="20.25" customHeight="1">
      <c r="C780" s="185"/>
      <c r="D780" s="190">
        <f t="shared" si="198"/>
        <v>780</v>
      </c>
      <c r="E780" s="194" t="s">
        <v>180</v>
      </c>
      <c r="F780" s="198">
        <f t="shared" si="200"/>
        <v>779</v>
      </c>
      <c r="G780" s="193" t="s">
        <v>121</v>
      </c>
      <c r="H780" s="193"/>
      <c r="I780" s="195"/>
      <c r="J780" s="195"/>
      <c r="K780" s="221">
        <v>4</v>
      </c>
      <c r="L780" s="195" t="s">
        <v>81</v>
      </c>
      <c r="M780" s="222">
        <f t="shared" si="201"/>
        <v>4</v>
      </c>
      <c r="N780" s="195" t="s">
        <v>81</v>
      </c>
      <c r="O780" s="205">
        <v>0.5</v>
      </c>
      <c r="P780" s="195" t="s">
        <v>162</v>
      </c>
      <c r="Q780" s="227">
        <f t="shared" si="199"/>
        <v>2</v>
      </c>
      <c r="R780" s="226"/>
      <c r="S780" s="227">
        <f t="shared" si="174"/>
        <v>2</v>
      </c>
      <c r="T780" s="203" t="s">
        <v>48</v>
      </c>
      <c r="U780" s="183" t="str">
        <f t="shared" si="172"/>
        <v>2 Hrs</v>
      </c>
    </row>
    <row r="781" spans="3:21" s="172" customFormat="1" ht="20.25" customHeight="1">
      <c r="C781" s="185">
        <f>D781</f>
        <v>781</v>
      </c>
      <c r="D781" s="190">
        <f t="shared" si="198"/>
        <v>781</v>
      </c>
      <c r="E781" s="191" t="s">
        <v>181</v>
      </c>
      <c r="F781" s="197">
        <f>D776</f>
        <v>776</v>
      </c>
      <c r="G781" s="193"/>
      <c r="H781" s="193"/>
      <c r="I781" s="195"/>
      <c r="J781" s="195"/>
      <c r="K781" s="221"/>
      <c r="L781" s="195"/>
      <c r="M781" s="204"/>
      <c r="N781" s="195"/>
      <c r="O781" s="205"/>
      <c r="P781" s="195"/>
      <c r="Q781" s="227"/>
      <c r="R781" s="226"/>
      <c r="S781" s="227"/>
      <c r="T781" s="203"/>
      <c r="U781" s="183"/>
    </row>
    <row r="782" spans="3:21" s="172" customFormat="1" ht="20.25" customHeight="1">
      <c r="C782" s="185"/>
      <c r="D782" s="190">
        <f t="shared" si="198"/>
        <v>782</v>
      </c>
      <c r="E782" s="194" t="s">
        <v>182</v>
      </c>
      <c r="F782" s="198"/>
      <c r="G782" s="193" t="s">
        <v>44</v>
      </c>
      <c r="H782" s="193"/>
      <c r="I782" s="211">
        <v>24</v>
      </c>
      <c r="J782" s="195"/>
      <c r="K782" s="221">
        <v>1</v>
      </c>
      <c r="L782" s="195" t="s">
        <v>160</v>
      </c>
      <c r="M782" s="204">
        <v>1</v>
      </c>
      <c r="N782" s="195" t="s">
        <v>160</v>
      </c>
      <c r="O782" s="205">
        <v>4</v>
      </c>
      <c r="P782" s="195" t="s">
        <v>177</v>
      </c>
      <c r="Q782" s="227">
        <f t="shared" ref="Q782:Q785" si="202">M782*O782</f>
        <v>4</v>
      </c>
      <c r="R782" s="226"/>
      <c r="S782" s="227">
        <f t="shared" si="174"/>
        <v>4</v>
      </c>
      <c r="T782" s="203" t="s">
        <v>42</v>
      </c>
      <c r="U782" s="183" t="str">
        <f t="shared" si="172"/>
        <v>4 Days</v>
      </c>
    </row>
    <row r="783" spans="3:21" s="172" customFormat="1" ht="20.25" customHeight="1">
      <c r="C783" s="185"/>
      <c r="D783" s="190">
        <f t="shared" si="198"/>
        <v>783</v>
      </c>
      <c r="E783" s="194" t="s">
        <v>183</v>
      </c>
      <c r="F783" s="198">
        <f t="shared" ref="F783:F785" si="203">D782</f>
        <v>782</v>
      </c>
      <c r="G783" s="193" t="s">
        <v>52</v>
      </c>
      <c r="H783" s="193"/>
      <c r="I783" s="195"/>
      <c r="J783" s="195"/>
      <c r="K783" s="221">
        <v>4</v>
      </c>
      <c r="L783" s="195" t="s">
        <v>81</v>
      </c>
      <c r="M783" s="222">
        <f t="shared" ref="M783:M785" si="204">K783</f>
        <v>4</v>
      </c>
      <c r="N783" s="195" t="s">
        <v>81</v>
      </c>
      <c r="O783" s="205">
        <v>0.5</v>
      </c>
      <c r="P783" s="195" t="s">
        <v>162</v>
      </c>
      <c r="Q783" s="227">
        <f t="shared" si="202"/>
        <v>2</v>
      </c>
      <c r="R783" s="226"/>
      <c r="S783" s="227">
        <f t="shared" si="174"/>
        <v>2</v>
      </c>
      <c r="T783" s="203" t="s">
        <v>48</v>
      </c>
      <c r="U783" s="183" t="str">
        <f t="shared" si="172"/>
        <v>2 Hrs</v>
      </c>
    </row>
    <row r="784" spans="3:21" s="172" customFormat="1" ht="20.25" customHeight="1">
      <c r="C784" s="185"/>
      <c r="D784" s="190">
        <f t="shared" si="198"/>
        <v>784</v>
      </c>
      <c r="E784" s="194" t="s">
        <v>184</v>
      </c>
      <c r="F784" s="198">
        <f t="shared" si="203"/>
        <v>783</v>
      </c>
      <c r="G784" s="193" t="s">
        <v>121</v>
      </c>
      <c r="H784" s="193"/>
      <c r="I784" s="195"/>
      <c r="J784" s="195"/>
      <c r="K784" s="221">
        <v>4</v>
      </c>
      <c r="L784" s="195" t="s">
        <v>81</v>
      </c>
      <c r="M784" s="222">
        <f t="shared" si="204"/>
        <v>4</v>
      </c>
      <c r="N784" s="195" t="s">
        <v>81</v>
      </c>
      <c r="O784" s="205">
        <v>0.5</v>
      </c>
      <c r="P784" s="195" t="s">
        <v>162</v>
      </c>
      <c r="Q784" s="227">
        <f t="shared" si="202"/>
        <v>2</v>
      </c>
      <c r="R784" s="226"/>
      <c r="S784" s="227">
        <f t="shared" si="174"/>
        <v>2</v>
      </c>
      <c r="T784" s="203" t="s">
        <v>48</v>
      </c>
      <c r="U784" s="183" t="str">
        <f t="shared" si="172"/>
        <v>2 Hrs</v>
      </c>
    </row>
    <row r="785" spans="3:21" s="172" customFormat="1" ht="20.25" customHeight="1">
      <c r="C785" s="185"/>
      <c r="D785" s="190">
        <f t="shared" si="198"/>
        <v>785</v>
      </c>
      <c r="E785" s="194" t="s">
        <v>185</v>
      </c>
      <c r="F785" s="198">
        <f t="shared" si="203"/>
        <v>784</v>
      </c>
      <c r="G785" s="193" t="s">
        <v>44</v>
      </c>
      <c r="H785" s="193"/>
      <c r="I785" s="195"/>
      <c r="J785" s="195"/>
      <c r="K785" s="221">
        <v>4</v>
      </c>
      <c r="L785" s="195" t="s">
        <v>81</v>
      </c>
      <c r="M785" s="222">
        <f t="shared" si="204"/>
        <v>4</v>
      </c>
      <c r="N785" s="195" t="s">
        <v>81</v>
      </c>
      <c r="O785" s="205">
        <v>0.5</v>
      </c>
      <c r="P785" s="195" t="s">
        <v>162</v>
      </c>
      <c r="Q785" s="227">
        <f t="shared" si="202"/>
        <v>2</v>
      </c>
      <c r="R785" s="226"/>
      <c r="S785" s="227">
        <f t="shared" si="174"/>
        <v>2</v>
      </c>
      <c r="T785" s="203" t="s">
        <v>48</v>
      </c>
      <c r="U785" s="183" t="str">
        <f t="shared" si="172"/>
        <v>2 Hrs</v>
      </c>
    </row>
    <row r="786" spans="3:21" s="172" customFormat="1" ht="20.25" customHeight="1">
      <c r="C786" s="185">
        <f>D786</f>
        <v>786</v>
      </c>
      <c r="D786" s="190">
        <f t="shared" si="198"/>
        <v>786</v>
      </c>
      <c r="E786" s="191" t="s">
        <v>186</v>
      </c>
      <c r="F786" s="197">
        <f>D781</f>
        <v>781</v>
      </c>
      <c r="G786" s="193"/>
      <c r="H786" s="193"/>
      <c r="I786" s="195"/>
      <c r="J786" s="195"/>
      <c r="K786" s="221"/>
      <c r="L786" s="195"/>
      <c r="M786" s="204"/>
      <c r="N786" s="195"/>
      <c r="O786" s="205"/>
      <c r="P786" s="195"/>
      <c r="Q786" s="227"/>
      <c r="R786" s="226"/>
      <c r="S786" s="227"/>
      <c r="T786" s="203"/>
      <c r="U786" s="183"/>
    </row>
    <row r="787" spans="3:21" s="172" customFormat="1" ht="20.25" customHeight="1">
      <c r="C787" s="185"/>
      <c r="D787" s="190">
        <f t="shared" si="198"/>
        <v>787</v>
      </c>
      <c r="E787" s="194" t="s">
        <v>187</v>
      </c>
      <c r="F787" s="198"/>
      <c r="G787" s="193" t="s">
        <v>44</v>
      </c>
      <c r="H787" s="193"/>
      <c r="I787" s="195"/>
      <c r="J787" s="195"/>
      <c r="K787" s="221">
        <v>4</v>
      </c>
      <c r="L787" s="195" t="s">
        <v>81</v>
      </c>
      <c r="M787" s="222">
        <f t="shared" ref="M787:M788" si="205">K787</f>
        <v>4</v>
      </c>
      <c r="N787" s="195" t="s">
        <v>81</v>
      </c>
      <c r="O787" s="205">
        <v>1</v>
      </c>
      <c r="P787" s="195" t="s">
        <v>162</v>
      </c>
      <c r="Q787" s="227">
        <f t="shared" ref="Q787:Q788" si="206">M787*O787</f>
        <v>4</v>
      </c>
      <c r="R787" s="226"/>
      <c r="S787" s="227">
        <f t="shared" si="174"/>
        <v>4</v>
      </c>
      <c r="T787" s="203" t="s">
        <v>42</v>
      </c>
      <c r="U787" s="183" t="str">
        <f t="shared" si="172"/>
        <v>4 Days</v>
      </c>
    </row>
    <row r="788" spans="3:21" s="172" customFormat="1" ht="20.25" customHeight="1">
      <c r="C788" s="185"/>
      <c r="D788" s="190">
        <f t="shared" si="198"/>
        <v>788</v>
      </c>
      <c r="E788" s="194" t="s">
        <v>188</v>
      </c>
      <c r="F788" s="198">
        <f t="shared" ref="F788" si="207">D787</f>
        <v>787</v>
      </c>
      <c r="G788" s="193" t="s">
        <v>44</v>
      </c>
      <c r="H788" s="193"/>
      <c r="I788" s="195"/>
      <c r="J788" s="195"/>
      <c r="K788" s="221">
        <v>4</v>
      </c>
      <c r="L788" s="195" t="s">
        <v>81</v>
      </c>
      <c r="M788" s="222">
        <f t="shared" si="205"/>
        <v>4</v>
      </c>
      <c r="N788" s="195" t="s">
        <v>81</v>
      </c>
      <c r="O788" s="205">
        <v>1</v>
      </c>
      <c r="P788" s="195" t="s">
        <v>162</v>
      </c>
      <c r="Q788" s="227">
        <f t="shared" si="206"/>
        <v>4</v>
      </c>
      <c r="R788" s="226"/>
      <c r="S788" s="227">
        <f t="shared" si="174"/>
        <v>4</v>
      </c>
      <c r="T788" s="203" t="s">
        <v>42</v>
      </c>
      <c r="U788" s="183" t="str">
        <f t="shared" si="172"/>
        <v>4 Days</v>
      </c>
    </row>
    <row r="789" spans="3:21" s="172" customFormat="1" ht="20.25" customHeight="1">
      <c r="C789" s="185">
        <f>D789</f>
        <v>789</v>
      </c>
      <c r="D789" s="190">
        <f t="shared" si="198"/>
        <v>789</v>
      </c>
      <c r="E789" s="191" t="s">
        <v>189</v>
      </c>
      <c r="F789" s="197">
        <f>D786</f>
        <v>786</v>
      </c>
      <c r="G789" s="193"/>
      <c r="H789" s="193"/>
      <c r="I789" s="195"/>
      <c r="J789" s="195"/>
      <c r="K789" s="221"/>
      <c r="L789" s="195"/>
      <c r="M789" s="204"/>
      <c r="N789" s="195"/>
      <c r="O789" s="205"/>
      <c r="P789" s="195"/>
      <c r="Q789" s="227"/>
      <c r="R789" s="226"/>
      <c r="S789" s="227"/>
      <c r="T789" s="203"/>
      <c r="U789" s="183"/>
    </row>
    <row r="790" spans="3:21" s="172" customFormat="1" ht="20.25" customHeight="1">
      <c r="C790" s="185"/>
      <c r="D790" s="190">
        <f t="shared" si="198"/>
        <v>790</v>
      </c>
      <c r="E790" s="194" t="s">
        <v>190</v>
      </c>
      <c r="F790" s="198"/>
      <c r="G790" s="193" t="s">
        <v>44</v>
      </c>
      <c r="H790" s="193"/>
      <c r="I790" s="211">
        <v>12</v>
      </c>
      <c r="J790" s="195"/>
      <c r="K790" s="221">
        <v>1</v>
      </c>
      <c r="L790" s="195" t="s">
        <v>81</v>
      </c>
      <c r="M790" s="222">
        <f t="shared" ref="M790:M793" si="208">K790</f>
        <v>1</v>
      </c>
      <c r="N790" s="195" t="s">
        <v>81</v>
      </c>
      <c r="O790" s="205">
        <v>4</v>
      </c>
      <c r="P790" s="195" t="s">
        <v>162</v>
      </c>
      <c r="Q790" s="227">
        <f t="shared" ref="Q790:Q793" si="209">M790*O790</f>
        <v>4</v>
      </c>
      <c r="R790" s="226"/>
      <c r="S790" s="227">
        <f t="shared" si="174"/>
        <v>4</v>
      </c>
      <c r="T790" s="203" t="s">
        <v>48</v>
      </c>
      <c r="U790" s="183" t="str">
        <f t="shared" si="172"/>
        <v>4 Hrs</v>
      </c>
    </row>
    <row r="791" spans="3:21" s="172" customFormat="1" ht="20.25" customHeight="1">
      <c r="C791" s="185"/>
      <c r="D791" s="190">
        <f t="shared" si="198"/>
        <v>791</v>
      </c>
      <c r="E791" s="194" t="s">
        <v>191</v>
      </c>
      <c r="F791" s="198">
        <f t="shared" ref="F791:F798" si="210">D790</f>
        <v>790</v>
      </c>
      <c r="G791" s="193" t="s">
        <v>52</v>
      </c>
      <c r="H791" s="193"/>
      <c r="I791" s="195"/>
      <c r="J791" s="195"/>
      <c r="K791" s="221">
        <v>1</v>
      </c>
      <c r="L791" s="195" t="s">
        <v>81</v>
      </c>
      <c r="M791" s="222">
        <f t="shared" si="208"/>
        <v>1</v>
      </c>
      <c r="N791" s="195" t="s">
        <v>81</v>
      </c>
      <c r="O791" s="205">
        <v>4</v>
      </c>
      <c r="P791" s="195" t="s">
        <v>162</v>
      </c>
      <c r="Q791" s="227">
        <f t="shared" si="209"/>
        <v>4</v>
      </c>
      <c r="R791" s="226"/>
      <c r="S791" s="227">
        <f t="shared" si="174"/>
        <v>4</v>
      </c>
      <c r="T791" s="203" t="s">
        <v>48</v>
      </c>
      <c r="U791" s="183" t="str">
        <f t="shared" si="172"/>
        <v>4 Hrs</v>
      </c>
    </row>
    <row r="792" spans="3:21" s="172" customFormat="1" ht="20.25" customHeight="1">
      <c r="C792" s="185"/>
      <c r="D792" s="190">
        <f t="shared" si="198"/>
        <v>792</v>
      </c>
      <c r="E792" s="194" t="s">
        <v>192</v>
      </c>
      <c r="F792" s="198">
        <f t="shared" si="210"/>
        <v>791</v>
      </c>
      <c r="G792" s="193" t="s">
        <v>44</v>
      </c>
      <c r="H792" s="193"/>
      <c r="I792" s="195"/>
      <c r="J792" s="195"/>
      <c r="K792" s="221">
        <v>1</v>
      </c>
      <c r="L792" s="195" t="s">
        <v>81</v>
      </c>
      <c r="M792" s="222">
        <f t="shared" si="208"/>
        <v>1</v>
      </c>
      <c r="N792" s="195" t="s">
        <v>81</v>
      </c>
      <c r="O792" s="205">
        <v>2</v>
      </c>
      <c r="P792" s="195" t="s">
        <v>162</v>
      </c>
      <c r="Q792" s="227">
        <f t="shared" si="209"/>
        <v>2</v>
      </c>
      <c r="R792" s="226"/>
      <c r="S792" s="227">
        <f t="shared" si="174"/>
        <v>2</v>
      </c>
      <c r="T792" s="203" t="s">
        <v>48</v>
      </c>
      <c r="U792" s="183" t="str">
        <f t="shared" si="172"/>
        <v>2 Hrs</v>
      </c>
    </row>
    <row r="793" spans="3:21" s="172" customFormat="1" ht="20.25" customHeight="1">
      <c r="C793" s="185"/>
      <c r="D793" s="190">
        <f t="shared" si="198"/>
        <v>793</v>
      </c>
      <c r="E793" s="194" t="s">
        <v>193</v>
      </c>
      <c r="F793" s="198">
        <f t="shared" si="210"/>
        <v>792</v>
      </c>
      <c r="G793" s="193" t="s">
        <v>44</v>
      </c>
      <c r="H793" s="193"/>
      <c r="I793" s="195"/>
      <c r="J793" s="195"/>
      <c r="K793" s="221">
        <v>1</v>
      </c>
      <c r="L793" s="195" t="s">
        <v>81</v>
      </c>
      <c r="M793" s="222">
        <f t="shared" si="208"/>
        <v>1</v>
      </c>
      <c r="N793" s="195" t="s">
        <v>81</v>
      </c>
      <c r="O793" s="205">
        <v>1</v>
      </c>
      <c r="P793" s="195" t="s">
        <v>162</v>
      </c>
      <c r="Q793" s="227">
        <f t="shared" si="209"/>
        <v>1</v>
      </c>
      <c r="R793" s="226"/>
      <c r="S793" s="227">
        <f t="shared" si="174"/>
        <v>1</v>
      </c>
      <c r="T793" s="203" t="s">
        <v>48</v>
      </c>
      <c r="U793" s="183" t="str">
        <f t="shared" si="172"/>
        <v>1 Hrs</v>
      </c>
    </row>
    <row r="794" spans="3:21" s="172" customFormat="1" ht="20.25" customHeight="1">
      <c r="C794" s="185">
        <f t="shared" ref="C794:C795" si="211">D794</f>
        <v>794</v>
      </c>
      <c r="D794" s="190">
        <f t="shared" si="198"/>
        <v>794</v>
      </c>
      <c r="E794" s="234" t="s">
        <v>194</v>
      </c>
      <c r="F794" s="197"/>
      <c r="G794" s="193"/>
      <c r="H794" s="193"/>
      <c r="I794" s="195"/>
      <c r="J794" s="195"/>
      <c r="K794" s="221"/>
      <c r="L794" s="195"/>
      <c r="M794" s="204"/>
      <c r="N794" s="195"/>
      <c r="O794" s="205"/>
      <c r="P794" s="195"/>
      <c r="Q794" s="227"/>
      <c r="R794" s="226"/>
      <c r="S794" s="227"/>
      <c r="T794" s="203"/>
      <c r="U794" s="183"/>
    </row>
    <row r="795" spans="3:21" s="172" customFormat="1" ht="20.25" customHeight="1">
      <c r="C795" s="185">
        <f t="shared" si="211"/>
        <v>795</v>
      </c>
      <c r="D795" s="190">
        <f t="shared" si="198"/>
        <v>795</v>
      </c>
      <c r="E795" s="191" t="s">
        <v>195</v>
      </c>
      <c r="F795" s="197">
        <f t="shared" si="210"/>
        <v>794</v>
      </c>
      <c r="G795" s="193"/>
      <c r="H795" s="193"/>
      <c r="I795" s="195"/>
      <c r="J795" s="195"/>
      <c r="K795" s="221"/>
      <c r="L795" s="195"/>
      <c r="M795" s="204"/>
      <c r="N795" s="195"/>
      <c r="O795" s="205"/>
      <c r="P795" s="195"/>
      <c r="Q795" s="227"/>
      <c r="R795" s="226"/>
      <c r="S795" s="227"/>
      <c r="T795" s="203"/>
      <c r="U795" s="183"/>
    </row>
    <row r="796" spans="3:21" s="172" customFormat="1" ht="20.25" customHeight="1">
      <c r="C796" s="185"/>
      <c r="D796" s="190">
        <f t="shared" si="198"/>
        <v>796</v>
      </c>
      <c r="E796" s="194" t="s">
        <v>196</v>
      </c>
      <c r="F796" s="198">
        <f t="shared" si="210"/>
        <v>795</v>
      </c>
      <c r="G796" s="193"/>
      <c r="H796" s="193"/>
      <c r="I796" s="195"/>
      <c r="J796" s="195"/>
      <c r="K796" s="221">
        <v>1</v>
      </c>
      <c r="L796" s="195" t="s">
        <v>81</v>
      </c>
      <c r="M796" s="222">
        <f t="shared" ref="M796" si="212">K796</f>
        <v>1</v>
      </c>
      <c r="N796" s="195" t="s">
        <v>84</v>
      </c>
      <c r="O796" s="205">
        <v>4</v>
      </c>
      <c r="P796" s="195" t="s">
        <v>41</v>
      </c>
      <c r="Q796" s="227">
        <f t="shared" ref="Q796:Q798" si="213">M796*O796</f>
        <v>4</v>
      </c>
      <c r="R796" s="226"/>
      <c r="S796" s="227">
        <f t="shared" si="174"/>
        <v>4</v>
      </c>
      <c r="T796" s="203" t="s">
        <v>48</v>
      </c>
      <c r="U796" s="183" t="str">
        <f t="shared" ref="U796:U859" si="214">CONCATENATE(S796," ",T796)</f>
        <v>4 Hrs</v>
      </c>
    </row>
    <row r="797" spans="3:21" s="172" customFormat="1" ht="20.25" customHeight="1">
      <c r="C797" s="185"/>
      <c r="D797" s="190">
        <f t="shared" si="198"/>
        <v>797</v>
      </c>
      <c r="E797" s="194" t="s">
        <v>197</v>
      </c>
      <c r="F797" s="198">
        <f t="shared" si="210"/>
        <v>796</v>
      </c>
      <c r="G797" s="193" t="s">
        <v>44</v>
      </c>
      <c r="H797" s="193"/>
      <c r="I797" s="211">
        <v>14</v>
      </c>
      <c r="J797" s="195"/>
      <c r="K797" s="221">
        <v>19</v>
      </c>
      <c r="L797" s="195" t="s">
        <v>81</v>
      </c>
      <c r="M797" s="204">
        <v>1</v>
      </c>
      <c r="N797" s="195" t="s">
        <v>84</v>
      </c>
      <c r="O797" s="205">
        <v>1</v>
      </c>
      <c r="P797" s="195" t="s">
        <v>41</v>
      </c>
      <c r="Q797" s="227">
        <f t="shared" si="213"/>
        <v>1</v>
      </c>
      <c r="R797" s="226"/>
      <c r="S797" s="227">
        <f t="shared" ref="S797:S859" si="215">ROUND(Q797+R797,2)</f>
        <v>1</v>
      </c>
      <c r="T797" s="203" t="s">
        <v>48</v>
      </c>
      <c r="U797" s="183" t="str">
        <f t="shared" si="214"/>
        <v>1 Hrs</v>
      </c>
    </row>
    <row r="798" spans="3:21" s="172" customFormat="1" ht="20.25" customHeight="1">
      <c r="C798" s="185"/>
      <c r="D798" s="190">
        <f t="shared" si="198"/>
        <v>798</v>
      </c>
      <c r="E798" s="194" t="s">
        <v>198</v>
      </c>
      <c r="F798" s="198">
        <f t="shared" si="210"/>
        <v>797</v>
      </c>
      <c r="G798" s="193" t="s">
        <v>52</v>
      </c>
      <c r="H798" s="193"/>
      <c r="I798" s="195"/>
      <c r="J798" s="195"/>
      <c r="K798" s="221">
        <v>19</v>
      </c>
      <c r="L798" s="195" t="s">
        <v>81</v>
      </c>
      <c r="M798" s="204">
        <v>1</v>
      </c>
      <c r="N798" s="195" t="s">
        <v>84</v>
      </c>
      <c r="O798" s="205">
        <v>5</v>
      </c>
      <c r="P798" s="195" t="s">
        <v>41</v>
      </c>
      <c r="Q798" s="227">
        <f t="shared" si="213"/>
        <v>5</v>
      </c>
      <c r="R798" s="226"/>
      <c r="S798" s="227">
        <f t="shared" si="215"/>
        <v>5</v>
      </c>
      <c r="T798" s="203" t="s">
        <v>48</v>
      </c>
      <c r="U798" s="183" t="str">
        <f t="shared" si="214"/>
        <v>5 Hrs</v>
      </c>
    </row>
    <row r="799" spans="3:21" s="172" customFormat="1" ht="20.25" customHeight="1">
      <c r="C799" s="185">
        <f>D799</f>
        <v>799</v>
      </c>
      <c r="D799" s="190">
        <f t="shared" si="198"/>
        <v>799</v>
      </c>
      <c r="E799" s="191" t="s">
        <v>199</v>
      </c>
      <c r="F799" s="197">
        <f>D795</f>
        <v>795</v>
      </c>
      <c r="G799" s="193"/>
      <c r="H799" s="193"/>
      <c r="I799" s="195"/>
      <c r="J799" s="195"/>
      <c r="K799" s="221"/>
      <c r="L799" s="195"/>
      <c r="M799" s="204"/>
      <c r="N799" s="195"/>
      <c r="O799" s="205"/>
      <c r="P799" s="195"/>
      <c r="Q799" s="227"/>
      <c r="R799" s="226"/>
      <c r="S799" s="227"/>
      <c r="T799" s="203"/>
      <c r="U799" s="183"/>
    </row>
    <row r="800" spans="3:21" s="172" customFormat="1" ht="20.25" customHeight="1">
      <c r="C800" s="185"/>
      <c r="D800" s="190">
        <f t="shared" si="198"/>
        <v>800</v>
      </c>
      <c r="E800" s="194" t="s">
        <v>200</v>
      </c>
      <c r="F800" s="198"/>
      <c r="G800" s="193" t="s">
        <v>201</v>
      </c>
      <c r="H800" s="193"/>
      <c r="I800" s="195"/>
      <c r="J800" s="195"/>
      <c r="K800" s="221">
        <v>19</v>
      </c>
      <c r="L800" s="195" t="s">
        <v>81</v>
      </c>
      <c r="M800" s="222">
        <f t="shared" ref="M800" si="216">K800</f>
        <v>19</v>
      </c>
      <c r="N800" s="195" t="s">
        <v>81</v>
      </c>
      <c r="O800" s="205">
        <v>1</v>
      </c>
      <c r="P800" s="195" t="s">
        <v>162</v>
      </c>
      <c r="Q800" s="227">
        <f t="shared" ref="Q800:Q801" si="217">M800*O800</f>
        <v>19</v>
      </c>
      <c r="R800" s="226"/>
      <c r="S800" s="227">
        <f t="shared" si="215"/>
        <v>19</v>
      </c>
      <c r="T800" s="203" t="s">
        <v>48</v>
      </c>
      <c r="U800" s="183" t="str">
        <f t="shared" si="214"/>
        <v>19 Hrs</v>
      </c>
    </row>
    <row r="801" spans="3:21" s="172" customFormat="1" ht="20.25" customHeight="1">
      <c r="C801" s="185"/>
      <c r="D801" s="190">
        <f t="shared" si="198"/>
        <v>801</v>
      </c>
      <c r="E801" s="194" t="s">
        <v>202</v>
      </c>
      <c r="F801" s="198">
        <f t="shared" ref="F801" si="218">D800</f>
        <v>800</v>
      </c>
      <c r="G801" s="193" t="s">
        <v>44</v>
      </c>
      <c r="H801" s="193"/>
      <c r="I801" s="195"/>
      <c r="J801" s="195" t="s">
        <v>203</v>
      </c>
      <c r="K801" s="221">
        <v>3</v>
      </c>
      <c r="L801" s="195" t="s">
        <v>81</v>
      </c>
      <c r="M801" s="222">
        <v>3</v>
      </c>
      <c r="N801" s="195" t="s">
        <v>81</v>
      </c>
      <c r="O801" s="205">
        <v>2</v>
      </c>
      <c r="P801" s="195" t="s">
        <v>162</v>
      </c>
      <c r="Q801" s="227">
        <f t="shared" si="217"/>
        <v>6</v>
      </c>
      <c r="R801" s="226"/>
      <c r="S801" s="227">
        <f t="shared" si="215"/>
        <v>6</v>
      </c>
      <c r="T801" s="203" t="s">
        <v>48</v>
      </c>
      <c r="U801" s="183" t="str">
        <f t="shared" si="214"/>
        <v>6 Hrs</v>
      </c>
    </row>
    <row r="802" spans="3:21" s="172" customFormat="1" ht="20.25" customHeight="1">
      <c r="C802" s="185">
        <f>D802</f>
        <v>802</v>
      </c>
      <c r="D802" s="190">
        <f t="shared" si="198"/>
        <v>802</v>
      </c>
      <c r="E802" s="191" t="s">
        <v>204</v>
      </c>
      <c r="F802" s="197">
        <f>D799</f>
        <v>799</v>
      </c>
      <c r="G802" s="193"/>
      <c r="H802" s="193"/>
      <c r="I802" s="195"/>
      <c r="J802" s="195"/>
      <c r="K802" s="221"/>
      <c r="L802" s="195"/>
      <c r="M802" s="204"/>
      <c r="N802" s="195"/>
      <c r="O802" s="205"/>
      <c r="P802" s="195"/>
      <c r="Q802" s="227"/>
      <c r="R802" s="226"/>
      <c r="S802" s="227"/>
      <c r="T802" s="203"/>
      <c r="U802" s="183"/>
    </row>
    <row r="803" spans="3:21" s="172" customFormat="1" ht="20.25" customHeight="1">
      <c r="C803" s="185"/>
      <c r="D803" s="190">
        <f t="shared" si="198"/>
        <v>803</v>
      </c>
      <c r="E803" s="194" t="s">
        <v>204</v>
      </c>
      <c r="F803" s="198"/>
      <c r="G803" s="193" t="s">
        <v>55</v>
      </c>
      <c r="H803" s="193"/>
      <c r="I803" s="211" t="s">
        <v>205</v>
      </c>
      <c r="J803" s="195"/>
      <c r="K803" s="221">
        <v>3</v>
      </c>
      <c r="L803" s="195" t="s">
        <v>206</v>
      </c>
      <c r="M803" s="204">
        <v>1</v>
      </c>
      <c r="N803" s="195" t="s">
        <v>84</v>
      </c>
      <c r="O803" s="205">
        <v>10</v>
      </c>
      <c r="P803" s="195" t="s">
        <v>41</v>
      </c>
      <c r="Q803" s="227">
        <f t="shared" ref="Q803" si="219">M803*O803</f>
        <v>10</v>
      </c>
      <c r="R803" s="226"/>
      <c r="S803" s="227">
        <f t="shared" si="215"/>
        <v>10</v>
      </c>
      <c r="T803" s="203" t="s">
        <v>42</v>
      </c>
      <c r="U803" s="183" t="str">
        <f t="shared" si="214"/>
        <v>10 Days</v>
      </c>
    </row>
    <row r="804" spans="3:21" s="172" customFormat="1" ht="20.25" customHeight="1">
      <c r="C804" s="185">
        <f>D804</f>
        <v>804</v>
      </c>
      <c r="D804" s="190">
        <f t="shared" si="198"/>
        <v>804</v>
      </c>
      <c r="E804" s="191" t="s">
        <v>207</v>
      </c>
      <c r="F804" s="197">
        <f>D802</f>
        <v>802</v>
      </c>
      <c r="G804" s="193"/>
      <c r="H804" s="193"/>
      <c r="I804" s="195"/>
      <c r="J804" s="195"/>
      <c r="K804" s="221"/>
      <c r="L804" s="195"/>
      <c r="M804" s="204"/>
      <c r="N804" s="195"/>
      <c r="O804" s="205"/>
      <c r="P804" s="195"/>
      <c r="Q804" s="227"/>
      <c r="R804" s="226"/>
      <c r="S804" s="227"/>
      <c r="T804" s="203"/>
      <c r="U804" s="183"/>
    </row>
    <row r="805" spans="3:21" s="172" customFormat="1" ht="20.25" customHeight="1">
      <c r="C805" s="185"/>
      <c r="D805" s="190">
        <f t="shared" si="198"/>
        <v>805</v>
      </c>
      <c r="E805" s="194" t="s">
        <v>208</v>
      </c>
      <c r="F805" s="198"/>
      <c r="G805" s="193" t="s">
        <v>44</v>
      </c>
      <c r="H805" s="193"/>
      <c r="I805" s="195"/>
      <c r="J805" s="195"/>
      <c r="K805" s="221">
        <v>3</v>
      </c>
      <c r="L805" s="195" t="s">
        <v>206</v>
      </c>
      <c r="M805" s="204">
        <v>4</v>
      </c>
      <c r="N805" s="195" t="s">
        <v>206</v>
      </c>
      <c r="O805" s="205">
        <v>6</v>
      </c>
      <c r="P805" s="195" t="s">
        <v>48</v>
      </c>
      <c r="Q805" s="227">
        <f t="shared" ref="Q805:Q806" si="220">M805*O805</f>
        <v>24</v>
      </c>
      <c r="R805" s="226"/>
      <c r="S805" s="227">
        <f t="shared" si="215"/>
        <v>24</v>
      </c>
      <c r="T805" s="230" t="s">
        <v>48</v>
      </c>
      <c r="U805" s="183" t="str">
        <f t="shared" si="214"/>
        <v>24 Hrs</v>
      </c>
    </row>
    <row r="806" spans="3:21" s="172" customFormat="1" ht="20.25" customHeight="1">
      <c r="C806" s="185"/>
      <c r="D806" s="190">
        <f t="shared" si="198"/>
        <v>806</v>
      </c>
      <c r="E806" s="194" t="s">
        <v>209</v>
      </c>
      <c r="F806" s="198">
        <f t="shared" ref="F806" si="221">D805</f>
        <v>805</v>
      </c>
      <c r="G806" s="193" t="s">
        <v>63</v>
      </c>
      <c r="H806" s="193"/>
      <c r="I806" s="195"/>
      <c r="J806" s="195"/>
      <c r="K806" s="221">
        <v>9</v>
      </c>
      <c r="L806" s="195" t="s">
        <v>81</v>
      </c>
      <c r="M806" s="222">
        <f>1308*9*2</f>
        <v>23544</v>
      </c>
      <c r="N806" s="195" t="s">
        <v>210</v>
      </c>
      <c r="O806" s="233">
        <f>1/100</f>
        <v>0.01</v>
      </c>
      <c r="P806" s="195"/>
      <c r="Q806" s="227">
        <f t="shared" si="220"/>
        <v>235.44</v>
      </c>
      <c r="R806" s="226"/>
      <c r="S806" s="227">
        <f t="shared" si="215"/>
        <v>235.44</v>
      </c>
      <c r="T806" s="203" t="s">
        <v>42</v>
      </c>
      <c r="U806" s="183" t="str">
        <f t="shared" si="214"/>
        <v>235.44 Days</v>
      </c>
    </row>
    <row r="807" spans="3:21" s="172" customFormat="1" ht="20.25" customHeight="1">
      <c r="C807" s="185">
        <f>D807</f>
        <v>807</v>
      </c>
      <c r="D807" s="190">
        <f t="shared" si="198"/>
        <v>807</v>
      </c>
      <c r="E807" s="191" t="s">
        <v>211</v>
      </c>
      <c r="F807" s="197">
        <f>D804</f>
        <v>804</v>
      </c>
      <c r="G807" s="193"/>
      <c r="H807" s="193"/>
      <c r="I807" s="195"/>
      <c r="J807" s="195"/>
      <c r="K807" s="221"/>
      <c r="L807" s="195"/>
      <c r="M807" s="204"/>
      <c r="N807" s="195"/>
      <c r="O807" s="205"/>
      <c r="P807" s="195"/>
      <c r="Q807" s="227"/>
      <c r="R807" s="226"/>
      <c r="S807" s="227"/>
      <c r="T807" s="203"/>
      <c r="U807" s="183"/>
    </row>
    <row r="808" spans="3:21" s="172" customFormat="1" ht="20.25" customHeight="1">
      <c r="C808" s="185"/>
      <c r="D808" s="190">
        <f t="shared" si="198"/>
        <v>808</v>
      </c>
      <c r="E808" s="194" t="s">
        <v>212</v>
      </c>
      <c r="F808" s="198"/>
      <c r="G808" s="193" t="s">
        <v>44</v>
      </c>
      <c r="H808" s="193"/>
      <c r="I808" s="195"/>
      <c r="J808" s="195"/>
      <c r="K808" s="221">
        <v>3</v>
      </c>
      <c r="L808" s="195" t="s">
        <v>81</v>
      </c>
      <c r="M808" s="222">
        <f t="shared" ref="M808" si="222">K808</f>
        <v>3</v>
      </c>
      <c r="N808" s="195" t="s">
        <v>81</v>
      </c>
      <c r="O808" s="205">
        <v>0.25</v>
      </c>
      <c r="P808" s="195" t="s">
        <v>162</v>
      </c>
      <c r="Q808" s="227">
        <f t="shared" ref="Q808:Q812" si="223">M808*O808</f>
        <v>0.75</v>
      </c>
      <c r="R808" s="226"/>
      <c r="S808" s="227">
        <f t="shared" si="215"/>
        <v>0.75</v>
      </c>
      <c r="T808" s="203" t="s">
        <v>48</v>
      </c>
      <c r="U808" s="183" t="str">
        <f t="shared" si="214"/>
        <v>0.75 Hrs</v>
      </c>
    </row>
    <row r="809" spans="3:21" s="172" customFormat="1" ht="20.25" customHeight="1">
      <c r="C809" s="185"/>
      <c r="D809" s="190">
        <f t="shared" si="198"/>
        <v>809</v>
      </c>
      <c r="E809" s="194" t="s">
        <v>213</v>
      </c>
      <c r="F809" s="198">
        <f t="shared" ref="F809:F812" si="224">D808</f>
        <v>808</v>
      </c>
      <c r="G809" s="193" t="s">
        <v>44</v>
      </c>
      <c r="H809" s="193"/>
      <c r="I809" s="195"/>
      <c r="J809" s="195"/>
      <c r="K809" s="221">
        <v>3</v>
      </c>
      <c r="L809" s="195" t="s">
        <v>81</v>
      </c>
      <c r="M809" s="204">
        <v>1</v>
      </c>
      <c r="N809" s="195" t="s">
        <v>160</v>
      </c>
      <c r="O809" s="205">
        <v>1</v>
      </c>
      <c r="P809" s="195" t="s">
        <v>48</v>
      </c>
      <c r="Q809" s="227">
        <f t="shared" si="223"/>
        <v>1</v>
      </c>
      <c r="R809" s="226"/>
      <c r="S809" s="227">
        <f t="shared" si="215"/>
        <v>1</v>
      </c>
      <c r="T809" s="203" t="s">
        <v>48</v>
      </c>
      <c r="U809" s="183" t="str">
        <f t="shared" si="214"/>
        <v>1 Hrs</v>
      </c>
    </row>
    <row r="810" spans="3:21" s="172" customFormat="1" ht="20.25" customHeight="1">
      <c r="C810" s="185"/>
      <c r="D810" s="190">
        <f t="shared" si="198"/>
        <v>810</v>
      </c>
      <c r="E810" s="194" t="s">
        <v>214</v>
      </c>
      <c r="F810" s="198">
        <f t="shared" si="224"/>
        <v>809</v>
      </c>
      <c r="G810" s="193" t="s">
        <v>55</v>
      </c>
      <c r="H810" s="193"/>
      <c r="I810" s="195"/>
      <c r="J810" s="195"/>
      <c r="K810" s="221">
        <v>3</v>
      </c>
      <c r="L810" s="195" t="s">
        <v>81</v>
      </c>
      <c r="M810" s="204">
        <v>1</v>
      </c>
      <c r="N810" s="195" t="s">
        <v>160</v>
      </c>
      <c r="O810" s="205">
        <v>5</v>
      </c>
      <c r="P810" s="195" t="s">
        <v>41</v>
      </c>
      <c r="Q810" s="227">
        <f t="shared" si="223"/>
        <v>5</v>
      </c>
      <c r="R810" s="226"/>
      <c r="S810" s="227">
        <f t="shared" si="215"/>
        <v>5</v>
      </c>
      <c r="T810" s="203" t="s">
        <v>42</v>
      </c>
      <c r="U810" s="183" t="str">
        <f t="shared" si="214"/>
        <v>5 Days</v>
      </c>
    </row>
    <row r="811" spans="3:21" s="172" customFormat="1" ht="20.25" customHeight="1">
      <c r="C811" s="185"/>
      <c r="D811" s="190">
        <f t="shared" si="198"/>
        <v>811</v>
      </c>
      <c r="E811" s="194" t="s">
        <v>215</v>
      </c>
      <c r="F811" s="198">
        <f t="shared" si="224"/>
        <v>810</v>
      </c>
      <c r="G811" s="193" t="s">
        <v>55</v>
      </c>
      <c r="H811" s="193"/>
      <c r="I811" s="195"/>
      <c r="J811" s="195"/>
      <c r="K811" s="221">
        <v>3</v>
      </c>
      <c r="L811" s="195" t="s">
        <v>81</v>
      </c>
      <c r="M811" s="204">
        <v>1</v>
      </c>
      <c r="N811" s="195" t="s">
        <v>160</v>
      </c>
      <c r="O811" s="205">
        <v>5</v>
      </c>
      <c r="P811" s="195" t="s">
        <v>41</v>
      </c>
      <c r="Q811" s="227">
        <f t="shared" si="223"/>
        <v>5</v>
      </c>
      <c r="R811" s="226"/>
      <c r="S811" s="227">
        <f t="shared" si="215"/>
        <v>5</v>
      </c>
      <c r="T811" s="203" t="s">
        <v>42</v>
      </c>
      <c r="U811" s="183" t="str">
        <f t="shared" si="214"/>
        <v>5 Days</v>
      </c>
    </row>
    <row r="812" spans="3:21" s="172" customFormat="1" ht="20.25" customHeight="1">
      <c r="C812" s="185"/>
      <c r="D812" s="190">
        <f t="shared" si="198"/>
        <v>812</v>
      </c>
      <c r="E812" s="194" t="s">
        <v>216</v>
      </c>
      <c r="F812" s="198">
        <f t="shared" si="224"/>
        <v>811</v>
      </c>
      <c r="G812" s="193" t="s">
        <v>217</v>
      </c>
      <c r="H812" s="193"/>
      <c r="I812" s="195"/>
      <c r="J812" s="195"/>
      <c r="K812" s="221">
        <v>3</v>
      </c>
      <c r="L812" s="195" t="s">
        <v>81</v>
      </c>
      <c r="M812" s="204">
        <v>1</v>
      </c>
      <c r="N812" s="195" t="s">
        <v>160</v>
      </c>
      <c r="O812" s="205">
        <v>1</v>
      </c>
      <c r="P812" s="195" t="s">
        <v>41</v>
      </c>
      <c r="Q812" s="227">
        <f t="shared" si="223"/>
        <v>1</v>
      </c>
      <c r="R812" s="226"/>
      <c r="S812" s="227">
        <f t="shared" si="215"/>
        <v>1</v>
      </c>
      <c r="T812" s="203" t="s">
        <v>42</v>
      </c>
      <c r="U812" s="183" t="str">
        <f t="shared" si="214"/>
        <v>1 Days</v>
      </c>
    </row>
    <row r="813" spans="3:21" s="172" customFormat="1" ht="20.25" customHeight="1">
      <c r="C813" s="185">
        <f>D813</f>
        <v>813</v>
      </c>
      <c r="D813" s="190">
        <f t="shared" si="198"/>
        <v>813</v>
      </c>
      <c r="E813" s="191" t="s">
        <v>218</v>
      </c>
      <c r="F813" s="197">
        <f>D807</f>
        <v>807</v>
      </c>
      <c r="G813" s="193"/>
      <c r="H813" s="193"/>
      <c r="I813" s="195"/>
      <c r="J813" s="195"/>
      <c r="K813" s="221"/>
      <c r="L813" s="195"/>
      <c r="M813" s="204"/>
      <c r="N813" s="195"/>
      <c r="O813" s="205"/>
      <c r="P813" s="195"/>
      <c r="Q813" s="227"/>
      <c r="R813" s="226"/>
      <c r="S813" s="227"/>
      <c r="T813" s="203"/>
      <c r="U813" s="183"/>
    </row>
    <row r="814" spans="3:21" s="172" customFormat="1" ht="20.25" customHeight="1">
      <c r="C814" s="185"/>
      <c r="D814" s="190">
        <f t="shared" si="198"/>
        <v>814</v>
      </c>
      <c r="E814" s="194" t="s">
        <v>219</v>
      </c>
      <c r="F814" s="198"/>
      <c r="G814" s="193"/>
      <c r="H814" s="193"/>
      <c r="I814" s="195"/>
      <c r="J814" s="195"/>
      <c r="K814" s="221">
        <v>2</v>
      </c>
      <c r="L814" s="195" t="s">
        <v>81</v>
      </c>
      <c r="M814" s="222">
        <v>1</v>
      </c>
      <c r="N814" s="195" t="s">
        <v>84</v>
      </c>
      <c r="O814" s="205">
        <v>4</v>
      </c>
      <c r="P814" s="195" t="s">
        <v>41</v>
      </c>
      <c r="Q814" s="227">
        <f t="shared" ref="Q814:Q816" si="225">M814*O814</f>
        <v>4</v>
      </c>
      <c r="R814" s="226"/>
      <c r="S814" s="227">
        <f t="shared" si="215"/>
        <v>4</v>
      </c>
      <c r="T814" s="203" t="s">
        <v>42</v>
      </c>
      <c r="U814" s="183" t="str">
        <f t="shared" si="214"/>
        <v>4 Days</v>
      </c>
    </row>
    <row r="815" spans="3:21" s="172" customFormat="1" ht="20.25" customHeight="1">
      <c r="C815" s="185"/>
      <c r="D815" s="190">
        <f t="shared" si="198"/>
        <v>815</v>
      </c>
      <c r="E815" s="194" t="s">
        <v>220</v>
      </c>
      <c r="F815" s="198">
        <f t="shared" ref="F815:F816" si="226">D814</f>
        <v>814</v>
      </c>
      <c r="G815" s="193" t="s">
        <v>55</v>
      </c>
      <c r="H815" s="193"/>
      <c r="I815" s="211">
        <v>20</v>
      </c>
      <c r="J815" s="195"/>
      <c r="K815" s="221">
        <v>2</v>
      </c>
      <c r="L815" s="195" t="s">
        <v>81</v>
      </c>
      <c r="M815" s="204">
        <v>1</v>
      </c>
      <c r="N815" s="195" t="s">
        <v>84</v>
      </c>
      <c r="O815" s="205">
        <v>1</v>
      </c>
      <c r="P815" s="195" t="s">
        <v>41</v>
      </c>
      <c r="Q815" s="227">
        <f t="shared" si="225"/>
        <v>1</v>
      </c>
      <c r="R815" s="226"/>
      <c r="S815" s="227">
        <f t="shared" si="215"/>
        <v>1</v>
      </c>
      <c r="T815" s="203" t="s">
        <v>42</v>
      </c>
      <c r="U815" s="183" t="str">
        <f t="shared" si="214"/>
        <v>1 Days</v>
      </c>
    </row>
    <row r="816" spans="3:21" s="172" customFormat="1" ht="20.25" customHeight="1">
      <c r="C816" s="185"/>
      <c r="D816" s="190">
        <f t="shared" si="198"/>
        <v>816</v>
      </c>
      <c r="E816" s="194" t="s">
        <v>221</v>
      </c>
      <c r="F816" s="198">
        <f t="shared" si="226"/>
        <v>815</v>
      </c>
      <c r="G816" s="193" t="s">
        <v>55</v>
      </c>
      <c r="H816" s="193"/>
      <c r="I816" s="195"/>
      <c r="J816" s="195"/>
      <c r="K816" s="221">
        <v>2</v>
      </c>
      <c r="L816" s="195" t="s">
        <v>81</v>
      </c>
      <c r="M816" s="204">
        <v>1</v>
      </c>
      <c r="N816" s="195" t="s">
        <v>84</v>
      </c>
      <c r="O816" s="205">
        <v>5</v>
      </c>
      <c r="P816" s="195" t="s">
        <v>41</v>
      </c>
      <c r="Q816" s="227">
        <f t="shared" si="225"/>
        <v>5</v>
      </c>
      <c r="R816" s="226"/>
      <c r="S816" s="227">
        <f t="shared" si="215"/>
        <v>5</v>
      </c>
      <c r="T816" s="203" t="s">
        <v>42</v>
      </c>
      <c r="U816" s="183" t="str">
        <f t="shared" si="214"/>
        <v>5 Days</v>
      </c>
    </row>
    <row r="817" spans="3:21" s="172" customFormat="1" ht="20.25" customHeight="1">
      <c r="C817" s="185">
        <f>D817</f>
        <v>817</v>
      </c>
      <c r="D817" s="190">
        <f t="shared" si="198"/>
        <v>817</v>
      </c>
      <c r="E817" s="191" t="s">
        <v>222</v>
      </c>
      <c r="F817" s="197">
        <f>D813</f>
        <v>813</v>
      </c>
      <c r="G817" s="193"/>
      <c r="H817" s="193"/>
      <c r="I817" s="195"/>
      <c r="J817" s="195"/>
      <c r="K817" s="221"/>
      <c r="L817" s="195"/>
      <c r="M817" s="204"/>
      <c r="N817" s="195"/>
      <c r="O817" s="205"/>
      <c r="P817" s="195"/>
      <c r="Q817" s="227"/>
      <c r="R817" s="226"/>
      <c r="S817" s="227"/>
      <c r="T817" s="203"/>
      <c r="U817" s="183"/>
    </row>
    <row r="818" spans="3:21" s="172" customFormat="1" ht="20.25" customHeight="1">
      <c r="C818" s="185"/>
      <c r="D818" s="190">
        <f t="shared" si="198"/>
        <v>818</v>
      </c>
      <c r="E818" s="194" t="s">
        <v>223</v>
      </c>
      <c r="F818" s="198"/>
      <c r="G818" s="193" t="s">
        <v>224</v>
      </c>
      <c r="H818" s="193"/>
      <c r="I818" s="195"/>
      <c r="J818" s="195"/>
      <c r="K818" s="221">
        <v>2</v>
      </c>
      <c r="L818" s="195" t="s">
        <v>81</v>
      </c>
      <c r="M818" s="222">
        <f t="shared" ref="M818:M819" si="227">K818</f>
        <v>2</v>
      </c>
      <c r="N818" s="195" t="s">
        <v>81</v>
      </c>
      <c r="O818" s="205">
        <v>2</v>
      </c>
      <c r="P818" s="195" t="s">
        <v>162</v>
      </c>
      <c r="Q818" s="227">
        <f t="shared" ref="Q818:Q819" si="228">M818*O818</f>
        <v>4</v>
      </c>
      <c r="R818" s="226"/>
      <c r="S818" s="227">
        <f t="shared" si="215"/>
        <v>4</v>
      </c>
      <c r="T818" s="230" t="s">
        <v>48</v>
      </c>
      <c r="U818" s="183" t="str">
        <f t="shared" si="214"/>
        <v>4 Hrs</v>
      </c>
    </row>
    <row r="819" spans="3:21" s="172" customFormat="1" ht="20.25" customHeight="1">
      <c r="C819" s="185"/>
      <c r="D819" s="190">
        <f t="shared" si="198"/>
        <v>819</v>
      </c>
      <c r="E819" s="194" t="s">
        <v>225</v>
      </c>
      <c r="F819" s="198">
        <f t="shared" ref="F819" si="229">D818</f>
        <v>818</v>
      </c>
      <c r="G819" s="193" t="s">
        <v>44</v>
      </c>
      <c r="H819" s="193"/>
      <c r="I819" s="195"/>
      <c r="J819" s="195"/>
      <c r="K819" s="221">
        <v>2</v>
      </c>
      <c r="L819" s="195" t="s">
        <v>81</v>
      </c>
      <c r="M819" s="222">
        <f t="shared" si="227"/>
        <v>2</v>
      </c>
      <c r="N819" s="195" t="s">
        <v>81</v>
      </c>
      <c r="O819" s="205">
        <v>0.5</v>
      </c>
      <c r="P819" s="195" t="s">
        <v>162</v>
      </c>
      <c r="Q819" s="227">
        <f t="shared" si="228"/>
        <v>1</v>
      </c>
      <c r="R819" s="226"/>
      <c r="S819" s="227">
        <f t="shared" si="215"/>
        <v>1</v>
      </c>
      <c r="T819" s="230" t="s">
        <v>48</v>
      </c>
      <c r="U819" s="183" t="str">
        <f t="shared" si="214"/>
        <v>1 Hrs</v>
      </c>
    </row>
    <row r="820" spans="3:21" s="172" customFormat="1" ht="20.25" customHeight="1">
      <c r="C820" s="185">
        <f>D820</f>
        <v>820</v>
      </c>
      <c r="D820" s="190">
        <f t="shared" si="198"/>
        <v>820</v>
      </c>
      <c r="E820" s="191" t="s">
        <v>226</v>
      </c>
      <c r="F820" s="197">
        <f>D817</f>
        <v>817</v>
      </c>
      <c r="G820" s="193"/>
      <c r="H820" s="193"/>
      <c r="I820" s="195"/>
      <c r="J820" s="195"/>
      <c r="K820" s="221"/>
      <c r="L820" s="195"/>
      <c r="M820" s="204"/>
      <c r="N820" s="195"/>
      <c r="O820" s="205"/>
      <c r="P820" s="195"/>
      <c r="Q820" s="227"/>
      <c r="R820" s="226"/>
      <c r="S820" s="227"/>
      <c r="T820" s="203"/>
      <c r="U820" s="183"/>
    </row>
    <row r="821" spans="3:21" s="172" customFormat="1" ht="20.25" customHeight="1">
      <c r="C821" s="185"/>
      <c r="D821" s="190">
        <f t="shared" si="198"/>
        <v>821</v>
      </c>
      <c r="E821" s="194" t="s">
        <v>227</v>
      </c>
      <c r="F821" s="198">
        <f t="shared" ref="F821" si="230">D820</f>
        <v>820</v>
      </c>
      <c r="G821" s="193" t="s">
        <v>55</v>
      </c>
      <c r="H821" s="193"/>
      <c r="I821" s="211" t="s">
        <v>228</v>
      </c>
      <c r="J821" s="195"/>
      <c r="K821" s="221">
        <v>1</v>
      </c>
      <c r="L821" s="195" t="s">
        <v>206</v>
      </c>
      <c r="M821" s="204">
        <v>1</v>
      </c>
      <c r="N821" s="195" t="s">
        <v>84</v>
      </c>
      <c r="O821" s="205">
        <v>10</v>
      </c>
      <c r="P821" s="195" t="s">
        <v>41</v>
      </c>
      <c r="Q821" s="227">
        <f t="shared" ref="Q821" si="231">M821*O821</f>
        <v>10</v>
      </c>
      <c r="R821" s="226"/>
      <c r="S821" s="227">
        <f t="shared" si="215"/>
        <v>10</v>
      </c>
      <c r="T821" s="203"/>
      <c r="U821" s="183" t="str">
        <f t="shared" si="214"/>
        <v xml:space="preserve">10 </v>
      </c>
    </row>
    <row r="822" spans="3:21" s="172" customFormat="1" ht="20.25" customHeight="1">
      <c r="C822" s="185">
        <f>D822</f>
        <v>822</v>
      </c>
      <c r="D822" s="190">
        <f t="shared" si="198"/>
        <v>822</v>
      </c>
      <c r="E822" s="191" t="s">
        <v>229</v>
      </c>
      <c r="F822" s="197">
        <f>D820</f>
        <v>820</v>
      </c>
      <c r="G822" s="193"/>
      <c r="H822" s="193"/>
      <c r="I822" s="195"/>
      <c r="J822" s="195"/>
      <c r="K822" s="221"/>
      <c r="L822" s="195"/>
      <c r="M822" s="204"/>
      <c r="N822" s="195"/>
      <c r="O822" s="205"/>
      <c r="P822" s="195"/>
      <c r="Q822" s="227"/>
      <c r="R822" s="226"/>
      <c r="S822" s="227"/>
      <c r="T822" s="203"/>
      <c r="U822" s="183"/>
    </row>
    <row r="823" spans="3:21" s="172" customFormat="1" ht="20.25" customHeight="1">
      <c r="C823" s="185"/>
      <c r="D823" s="190">
        <f t="shared" si="198"/>
        <v>823</v>
      </c>
      <c r="E823" s="194" t="s">
        <v>230</v>
      </c>
      <c r="F823" s="198"/>
      <c r="G823" s="193" t="s">
        <v>44</v>
      </c>
      <c r="H823" s="193"/>
      <c r="I823" s="195"/>
      <c r="J823" s="195"/>
      <c r="K823" s="221">
        <v>1</v>
      </c>
      <c r="L823" s="195" t="s">
        <v>206</v>
      </c>
      <c r="M823" s="204">
        <v>1</v>
      </c>
      <c r="N823" s="195" t="s">
        <v>206</v>
      </c>
      <c r="O823" s="205">
        <v>3</v>
      </c>
      <c r="P823" s="195" t="s">
        <v>48</v>
      </c>
      <c r="Q823" s="227">
        <f t="shared" ref="Q823:Q824" si="232">M823*O823</f>
        <v>3</v>
      </c>
      <c r="R823" s="226"/>
      <c r="S823" s="227">
        <f t="shared" si="215"/>
        <v>3</v>
      </c>
      <c r="T823" s="203" t="s">
        <v>48</v>
      </c>
      <c r="U823" s="183" t="str">
        <f t="shared" si="214"/>
        <v>3 Hrs</v>
      </c>
    </row>
    <row r="824" spans="3:21" s="172" customFormat="1" ht="20.25" customHeight="1">
      <c r="C824" s="185"/>
      <c r="D824" s="190">
        <f t="shared" si="198"/>
        <v>824</v>
      </c>
      <c r="E824" s="194" t="s">
        <v>231</v>
      </c>
      <c r="F824" s="198">
        <f t="shared" ref="F824" si="233">D823</f>
        <v>823</v>
      </c>
      <c r="G824" s="193" t="s">
        <v>63</v>
      </c>
      <c r="H824" s="193"/>
      <c r="I824" s="195"/>
      <c r="J824" s="195"/>
      <c r="K824" s="221">
        <v>2</v>
      </c>
      <c r="L824" s="195" t="s">
        <v>232</v>
      </c>
      <c r="M824" s="222">
        <f>1308*2*1</f>
        <v>2616</v>
      </c>
      <c r="N824" s="195" t="s">
        <v>210</v>
      </c>
      <c r="O824" s="233">
        <f>1/100</f>
        <v>0.01</v>
      </c>
      <c r="P824" s="195"/>
      <c r="Q824" s="227">
        <f t="shared" si="232"/>
        <v>26.16</v>
      </c>
      <c r="R824" s="226"/>
      <c r="S824" s="227">
        <f t="shared" si="215"/>
        <v>26.16</v>
      </c>
      <c r="T824" s="203"/>
      <c r="U824" s="183" t="str">
        <f t="shared" si="214"/>
        <v xml:space="preserve">26.16 </v>
      </c>
    </row>
    <row r="825" spans="3:21" s="172" customFormat="1" ht="20.25" customHeight="1">
      <c r="C825" s="185">
        <f>D825</f>
        <v>825</v>
      </c>
      <c r="D825" s="190">
        <f t="shared" si="198"/>
        <v>825</v>
      </c>
      <c r="E825" s="191" t="s">
        <v>233</v>
      </c>
      <c r="F825" s="197">
        <f>D1286</f>
        <v>1276</v>
      </c>
      <c r="G825" s="193"/>
      <c r="H825" s="193"/>
      <c r="I825" s="195"/>
      <c r="J825" s="195"/>
      <c r="K825" s="221"/>
      <c r="L825" s="195"/>
      <c r="M825" s="204"/>
      <c r="N825" s="195"/>
      <c r="O825" s="205"/>
      <c r="P825" s="195"/>
      <c r="Q825" s="227"/>
      <c r="R825" s="226"/>
      <c r="S825" s="227"/>
      <c r="T825" s="203"/>
      <c r="U825" s="183"/>
    </row>
    <row r="826" spans="3:21" s="172" customFormat="1" ht="20.25" customHeight="1">
      <c r="C826" s="185"/>
      <c r="D826" s="190">
        <f t="shared" si="198"/>
        <v>826</v>
      </c>
      <c r="E826" s="194" t="s">
        <v>234</v>
      </c>
      <c r="F826" s="198"/>
      <c r="G826" s="193"/>
      <c r="H826" s="193"/>
      <c r="I826" s="195"/>
      <c r="J826" s="195"/>
      <c r="K826" s="221">
        <v>1</v>
      </c>
      <c r="L826" s="195" t="s">
        <v>81</v>
      </c>
      <c r="M826" s="222">
        <f t="shared" ref="M826:M829" si="234">K826</f>
        <v>1</v>
      </c>
      <c r="N826" s="195" t="s">
        <v>84</v>
      </c>
      <c r="O826" s="205">
        <v>4</v>
      </c>
      <c r="P826" s="195" t="s">
        <v>41</v>
      </c>
      <c r="Q826" s="227">
        <f t="shared" ref="Q826:Q829" si="235">M826*O826</f>
        <v>4</v>
      </c>
      <c r="R826" s="226"/>
      <c r="S826" s="227">
        <f t="shared" si="215"/>
        <v>4</v>
      </c>
      <c r="T826" s="203" t="s">
        <v>42</v>
      </c>
      <c r="U826" s="183" t="str">
        <f t="shared" si="214"/>
        <v>4 Days</v>
      </c>
    </row>
    <row r="827" spans="3:21" s="172" customFormat="1" ht="20.25" customHeight="1">
      <c r="C827" s="185"/>
      <c r="D827" s="190">
        <f t="shared" si="198"/>
        <v>827</v>
      </c>
      <c r="E827" s="194" t="s">
        <v>235</v>
      </c>
      <c r="F827" s="198">
        <f t="shared" ref="F827:F829" si="236">D826</f>
        <v>826</v>
      </c>
      <c r="G827" s="193" t="s">
        <v>44</v>
      </c>
      <c r="H827" s="193"/>
      <c r="I827" s="195"/>
      <c r="J827" s="195"/>
      <c r="K827" s="221">
        <v>22</v>
      </c>
      <c r="L827" s="195" t="s">
        <v>81</v>
      </c>
      <c r="M827" s="204">
        <f t="shared" si="234"/>
        <v>22</v>
      </c>
      <c r="N827" s="195" t="s">
        <v>236</v>
      </c>
      <c r="O827" s="205">
        <v>0.25</v>
      </c>
      <c r="P827" s="195" t="s">
        <v>162</v>
      </c>
      <c r="Q827" s="227">
        <f t="shared" si="235"/>
        <v>5.5</v>
      </c>
      <c r="R827" s="226"/>
      <c r="S827" s="227">
        <f t="shared" si="215"/>
        <v>5.5</v>
      </c>
      <c r="T827" s="203" t="s">
        <v>48</v>
      </c>
      <c r="U827" s="183" t="str">
        <f t="shared" si="214"/>
        <v>5.5 Hrs</v>
      </c>
    </row>
    <row r="828" spans="3:21" s="172" customFormat="1" ht="20.25" customHeight="1">
      <c r="C828" s="185"/>
      <c r="D828" s="190">
        <f t="shared" si="198"/>
        <v>828</v>
      </c>
      <c r="E828" s="194" t="s">
        <v>237</v>
      </c>
      <c r="F828" s="198">
        <f t="shared" si="236"/>
        <v>827</v>
      </c>
      <c r="G828" s="193" t="s">
        <v>238</v>
      </c>
      <c r="H828" s="193"/>
      <c r="I828" s="195"/>
      <c r="J828" s="195"/>
      <c r="K828" s="221">
        <v>22</v>
      </c>
      <c r="L828" s="195" t="s">
        <v>81</v>
      </c>
      <c r="M828" s="204">
        <f t="shared" si="234"/>
        <v>22</v>
      </c>
      <c r="N828" s="195" t="s">
        <v>81</v>
      </c>
      <c r="O828" s="205">
        <v>0.45</v>
      </c>
      <c r="P828" s="195" t="s">
        <v>162</v>
      </c>
      <c r="Q828" s="227">
        <f t="shared" si="235"/>
        <v>9.9</v>
      </c>
      <c r="R828" s="226"/>
      <c r="S828" s="227">
        <f t="shared" si="215"/>
        <v>9.9</v>
      </c>
      <c r="T828" s="203" t="s">
        <v>48</v>
      </c>
      <c r="U828" s="183" t="str">
        <f t="shared" si="214"/>
        <v>9.9 Hrs</v>
      </c>
    </row>
    <row r="829" spans="3:21" s="172" customFormat="1" ht="20.25" customHeight="1">
      <c r="C829" s="185"/>
      <c r="D829" s="190">
        <f t="shared" si="198"/>
        <v>829</v>
      </c>
      <c r="E829" s="194" t="s">
        <v>239</v>
      </c>
      <c r="F829" s="198">
        <f t="shared" si="236"/>
        <v>828</v>
      </c>
      <c r="G829" s="193" t="s">
        <v>240</v>
      </c>
      <c r="H829" s="193"/>
      <c r="I829" s="195"/>
      <c r="J829" s="195"/>
      <c r="K829" s="221">
        <v>22</v>
      </c>
      <c r="L829" s="195" t="s">
        <v>81</v>
      </c>
      <c r="M829" s="204">
        <f t="shared" si="234"/>
        <v>22</v>
      </c>
      <c r="N829" s="195" t="s">
        <v>81</v>
      </c>
      <c r="O829" s="205">
        <v>0.5</v>
      </c>
      <c r="P829" s="195" t="s">
        <v>162</v>
      </c>
      <c r="Q829" s="227">
        <f t="shared" si="235"/>
        <v>11</v>
      </c>
      <c r="R829" s="226"/>
      <c r="S829" s="227">
        <f t="shared" si="215"/>
        <v>11</v>
      </c>
      <c r="T829" s="203" t="s">
        <v>48</v>
      </c>
      <c r="U829" s="183" t="str">
        <f t="shared" si="214"/>
        <v>11 Hrs</v>
      </c>
    </row>
    <row r="830" spans="3:21" s="172" customFormat="1" ht="20.25" customHeight="1">
      <c r="C830" s="185">
        <f>D830</f>
        <v>830</v>
      </c>
      <c r="D830" s="190">
        <f t="shared" si="198"/>
        <v>830</v>
      </c>
      <c r="E830" s="191" t="s">
        <v>241</v>
      </c>
      <c r="F830" s="197">
        <f>D1285</f>
        <v>1275</v>
      </c>
      <c r="G830" s="193"/>
      <c r="H830" s="193"/>
      <c r="I830" s="195"/>
      <c r="J830" s="195"/>
      <c r="K830" s="221"/>
      <c r="L830" s="195"/>
      <c r="M830" s="204"/>
      <c r="N830" s="195"/>
      <c r="O830" s="205"/>
      <c r="P830" s="195"/>
      <c r="Q830" s="227"/>
      <c r="R830" s="226"/>
      <c r="S830" s="227"/>
      <c r="T830" s="203"/>
      <c r="U830" s="183"/>
    </row>
    <row r="831" spans="3:21" s="172" customFormat="1" ht="20.25" customHeight="1">
      <c r="C831" s="185"/>
      <c r="D831" s="190">
        <f t="shared" si="198"/>
        <v>831</v>
      </c>
      <c r="E831" s="194" t="s">
        <v>242</v>
      </c>
      <c r="F831" s="198"/>
      <c r="G831" s="193"/>
      <c r="H831" s="193"/>
      <c r="I831" s="195"/>
      <c r="J831" s="195"/>
      <c r="K831" s="221">
        <v>1</v>
      </c>
      <c r="L831" s="195" t="s">
        <v>81</v>
      </c>
      <c r="M831" s="222">
        <f t="shared" ref="M831:M834" si="237">K831</f>
        <v>1</v>
      </c>
      <c r="N831" s="195" t="s">
        <v>84</v>
      </c>
      <c r="O831" s="205">
        <v>4</v>
      </c>
      <c r="P831" s="195" t="s">
        <v>41</v>
      </c>
      <c r="Q831" s="227">
        <f t="shared" ref="Q831:Q834" si="238">M831*O831</f>
        <v>4</v>
      </c>
      <c r="R831" s="226"/>
      <c r="S831" s="227">
        <f t="shared" si="215"/>
        <v>4</v>
      </c>
      <c r="T831" s="203" t="s">
        <v>48</v>
      </c>
      <c r="U831" s="183" t="str">
        <f t="shared" si="214"/>
        <v>4 Hrs</v>
      </c>
    </row>
    <row r="832" spans="3:21" s="172" customFormat="1" ht="20.25" customHeight="1">
      <c r="C832" s="185"/>
      <c r="D832" s="190">
        <f t="shared" si="198"/>
        <v>832</v>
      </c>
      <c r="E832" s="194" t="s">
        <v>243</v>
      </c>
      <c r="F832" s="198">
        <f t="shared" ref="F832:F834" si="239">D831</f>
        <v>831</v>
      </c>
      <c r="G832" s="193" t="s">
        <v>44</v>
      </c>
      <c r="H832" s="193"/>
      <c r="I832" s="195"/>
      <c r="J832" s="195"/>
      <c r="K832" s="221">
        <v>414</v>
      </c>
      <c r="L832" s="195" t="s">
        <v>81</v>
      </c>
      <c r="M832" s="204">
        <f t="shared" si="237"/>
        <v>414</v>
      </c>
      <c r="N832" s="195" t="s">
        <v>236</v>
      </c>
      <c r="O832" s="205">
        <v>0.1</v>
      </c>
      <c r="P832" s="195" t="s">
        <v>162</v>
      </c>
      <c r="Q832" s="227">
        <f t="shared" si="238"/>
        <v>41.400000000000006</v>
      </c>
      <c r="R832" s="226"/>
      <c r="S832" s="227">
        <f t="shared" si="215"/>
        <v>41.4</v>
      </c>
      <c r="T832" s="203" t="s">
        <v>48</v>
      </c>
      <c r="U832" s="183" t="str">
        <f t="shared" si="214"/>
        <v>41.4 Hrs</v>
      </c>
    </row>
    <row r="833" spans="3:21" s="172" customFormat="1" ht="20.25" customHeight="1">
      <c r="C833" s="185"/>
      <c r="D833" s="190">
        <f t="shared" si="198"/>
        <v>833</v>
      </c>
      <c r="E833" s="194" t="s">
        <v>244</v>
      </c>
      <c r="F833" s="198">
        <f t="shared" si="239"/>
        <v>832</v>
      </c>
      <c r="G833" s="193" t="s">
        <v>238</v>
      </c>
      <c r="H833" s="193"/>
      <c r="I833" s="195"/>
      <c r="J833" s="195"/>
      <c r="K833" s="221">
        <v>414</v>
      </c>
      <c r="L833" s="195" t="s">
        <v>81</v>
      </c>
      <c r="M833" s="204">
        <f t="shared" si="237"/>
        <v>414</v>
      </c>
      <c r="N833" s="195" t="s">
        <v>236</v>
      </c>
      <c r="O833" s="205">
        <v>0.1</v>
      </c>
      <c r="P833" s="195" t="s">
        <v>162</v>
      </c>
      <c r="Q833" s="227">
        <f t="shared" si="238"/>
        <v>41.400000000000006</v>
      </c>
      <c r="R833" s="226"/>
      <c r="S833" s="227">
        <f t="shared" si="215"/>
        <v>41.4</v>
      </c>
      <c r="T833" s="203" t="s">
        <v>48</v>
      </c>
      <c r="U833" s="183" t="str">
        <f t="shared" si="214"/>
        <v>41.4 Hrs</v>
      </c>
    </row>
    <row r="834" spans="3:21" s="172" customFormat="1" ht="20.25" customHeight="1">
      <c r="C834" s="185"/>
      <c r="D834" s="190">
        <f t="shared" si="198"/>
        <v>834</v>
      </c>
      <c r="E834" s="194" t="s">
        <v>245</v>
      </c>
      <c r="F834" s="198">
        <f t="shared" si="239"/>
        <v>833</v>
      </c>
      <c r="G834" s="193" t="s">
        <v>217</v>
      </c>
      <c r="H834" s="193"/>
      <c r="I834" s="195"/>
      <c r="J834" s="195"/>
      <c r="K834" s="221">
        <v>414</v>
      </c>
      <c r="L834" s="195" t="s">
        <v>81</v>
      </c>
      <c r="M834" s="204">
        <f t="shared" si="237"/>
        <v>414</v>
      </c>
      <c r="N834" s="195" t="s">
        <v>81</v>
      </c>
      <c r="O834" s="233">
        <f>1/60</f>
        <v>1.6666666666666666E-2</v>
      </c>
      <c r="P834" s="195" t="s">
        <v>162</v>
      </c>
      <c r="Q834" s="227">
        <f t="shared" si="238"/>
        <v>6.8999999999999995</v>
      </c>
      <c r="R834" s="226"/>
      <c r="S834" s="227">
        <f t="shared" si="215"/>
        <v>6.9</v>
      </c>
      <c r="T834" s="203" t="s">
        <v>48</v>
      </c>
      <c r="U834" s="183" t="str">
        <f t="shared" si="214"/>
        <v>6.9 Hrs</v>
      </c>
    </row>
    <row r="835" spans="3:21" s="172" customFormat="1" ht="20.25" customHeight="1">
      <c r="C835" s="185">
        <f>D835</f>
        <v>835</v>
      </c>
      <c r="D835" s="190">
        <f t="shared" ref="D835:D898" si="240">D834+1</f>
        <v>835</v>
      </c>
      <c r="E835" s="191" t="s">
        <v>246</v>
      </c>
      <c r="F835" s="197">
        <f>D1280</f>
        <v>1270</v>
      </c>
      <c r="G835" s="193"/>
      <c r="H835" s="193"/>
      <c r="I835" s="195"/>
      <c r="J835" s="195"/>
      <c r="K835" s="221"/>
      <c r="L835" s="195"/>
      <c r="M835" s="204"/>
      <c r="N835" s="195"/>
      <c r="O835" s="205"/>
      <c r="P835" s="195"/>
      <c r="Q835" s="227"/>
      <c r="R835" s="226"/>
      <c r="S835" s="227"/>
      <c r="T835" s="203"/>
      <c r="U835" s="183"/>
    </row>
    <row r="836" spans="3:21" s="172" customFormat="1" ht="20.25" customHeight="1">
      <c r="C836" s="185"/>
      <c r="D836" s="190">
        <f t="shared" si="240"/>
        <v>836</v>
      </c>
      <c r="E836" s="194" t="s">
        <v>247</v>
      </c>
      <c r="F836" s="198"/>
      <c r="G836" s="193" t="s">
        <v>44</v>
      </c>
      <c r="H836" s="193"/>
      <c r="I836" s="211">
        <v>8</v>
      </c>
      <c r="J836" s="221" t="s">
        <v>248</v>
      </c>
      <c r="K836" s="221">
        <v>2</v>
      </c>
      <c r="L836" s="195" t="s">
        <v>81</v>
      </c>
      <c r="M836" s="214">
        <f>LEFT(J836,SEARCH(" ",J836,1)-1)*K836*0.001</f>
        <v>19.044</v>
      </c>
      <c r="N836" s="195" t="s">
        <v>249</v>
      </c>
      <c r="O836" s="233">
        <f>VLOOKUP(I836,BM!$B$3:$Y$62,2,FALSE)</f>
        <v>0.1</v>
      </c>
      <c r="P836" s="195" t="s">
        <v>162</v>
      </c>
      <c r="Q836" s="227">
        <f t="shared" ref="Q836:Q841" si="241">M836*O836</f>
        <v>1.9044000000000001</v>
      </c>
      <c r="R836" s="226"/>
      <c r="S836" s="227">
        <f t="shared" si="215"/>
        <v>1.9</v>
      </c>
      <c r="T836" s="203" t="s">
        <v>48</v>
      </c>
      <c r="U836" s="183" t="str">
        <f t="shared" si="214"/>
        <v>1.9 Hrs</v>
      </c>
    </row>
    <row r="837" spans="3:21" s="172" customFormat="1" ht="20.25" customHeight="1">
      <c r="C837" s="185"/>
      <c r="D837" s="190">
        <f t="shared" si="240"/>
        <v>837</v>
      </c>
      <c r="E837" s="194" t="s">
        <v>250</v>
      </c>
      <c r="F837" s="198">
        <f t="shared" ref="F837:F841" si="242">D836</f>
        <v>836</v>
      </c>
      <c r="G837" s="193" t="s">
        <v>52</v>
      </c>
      <c r="H837" s="193"/>
      <c r="I837" s="211">
        <v>25</v>
      </c>
      <c r="J837" s="195" t="str">
        <f t="shared" ref="J837:J841" si="243">J836</f>
        <v>9522 mm</v>
      </c>
      <c r="K837" s="221">
        <v>2</v>
      </c>
      <c r="L837" s="195" t="s">
        <v>81</v>
      </c>
      <c r="M837" s="214">
        <f>LEFT(J837,SEARCH(" ",J837,1)-1)*K837*0.001</f>
        <v>19.044</v>
      </c>
      <c r="N837" s="195" t="s">
        <v>249</v>
      </c>
      <c r="O837" s="233">
        <f>VLOOKUP(I837,BM!$B$3:$Y$62,3,FALSE)</f>
        <v>0.25</v>
      </c>
      <c r="P837" s="195" t="s">
        <v>162</v>
      </c>
      <c r="Q837" s="227">
        <f t="shared" si="241"/>
        <v>4.7610000000000001</v>
      </c>
      <c r="R837" s="226"/>
      <c r="S837" s="227">
        <f t="shared" si="215"/>
        <v>4.76</v>
      </c>
      <c r="T837" s="203" t="s">
        <v>48</v>
      </c>
      <c r="U837" s="183" t="str">
        <f t="shared" si="214"/>
        <v>4.76 Hrs</v>
      </c>
    </row>
    <row r="838" spans="3:21" s="172" customFormat="1" ht="20.25" customHeight="1">
      <c r="C838" s="185"/>
      <c r="D838" s="190">
        <f t="shared" si="240"/>
        <v>838</v>
      </c>
      <c r="E838" s="194" t="s">
        <v>251</v>
      </c>
      <c r="F838" s="198">
        <f t="shared" si="242"/>
        <v>837</v>
      </c>
      <c r="G838" s="193" t="s">
        <v>201</v>
      </c>
      <c r="H838" s="193"/>
      <c r="I838" s="211">
        <v>25</v>
      </c>
      <c r="J838" s="195" t="str">
        <f t="shared" si="243"/>
        <v>9522 mm</v>
      </c>
      <c r="K838" s="221">
        <v>2</v>
      </c>
      <c r="L838" s="195" t="s">
        <v>81</v>
      </c>
      <c r="M838" s="222">
        <f>K838</f>
        <v>2</v>
      </c>
      <c r="N838" s="195" t="s">
        <v>81</v>
      </c>
      <c r="O838" s="205">
        <v>2</v>
      </c>
      <c r="P838" s="195" t="s">
        <v>162</v>
      </c>
      <c r="Q838" s="227">
        <f t="shared" si="241"/>
        <v>4</v>
      </c>
      <c r="R838" s="226"/>
      <c r="S838" s="227">
        <f t="shared" si="215"/>
        <v>4</v>
      </c>
      <c r="T838" s="203" t="s">
        <v>48</v>
      </c>
      <c r="U838" s="183" t="str">
        <f t="shared" si="214"/>
        <v>4 Hrs</v>
      </c>
    </row>
    <row r="839" spans="3:21" s="172" customFormat="1" ht="20.25" customHeight="1">
      <c r="C839" s="185"/>
      <c r="D839" s="190">
        <f t="shared" si="240"/>
        <v>839</v>
      </c>
      <c r="E839" s="194" t="s">
        <v>252</v>
      </c>
      <c r="F839" s="198">
        <f t="shared" si="242"/>
        <v>838</v>
      </c>
      <c r="G839" s="193" t="s">
        <v>61</v>
      </c>
      <c r="H839" s="193"/>
      <c r="I839" s="211">
        <v>25</v>
      </c>
      <c r="J839" s="195" t="str">
        <f t="shared" si="243"/>
        <v>9522 mm</v>
      </c>
      <c r="K839" s="221">
        <v>2</v>
      </c>
      <c r="L839" s="195" t="s">
        <v>81</v>
      </c>
      <c r="M839" s="204">
        <v>4</v>
      </c>
      <c r="N839" s="195" t="s">
        <v>81</v>
      </c>
      <c r="O839" s="205">
        <v>4</v>
      </c>
      <c r="P839" s="195" t="s">
        <v>162</v>
      </c>
      <c r="Q839" s="227">
        <f t="shared" si="241"/>
        <v>16</v>
      </c>
      <c r="R839" s="226"/>
      <c r="S839" s="227">
        <f t="shared" si="215"/>
        <v>16</v>
      </c>
      <c r="T839" s="203" t="s">
        <v>48</v>
      </c>
      <c r="U839" s="183" t="str">
        <f t="shared" si="214"/>
        <v>16 Hrs</v>
      </c>
    </row>
    <row r="840" spans="3:21" s="172" customFormat="1" ht="20.25" customHeight="1">
      <c r="C840" s="185"/>
      <c r="D840" s="190">
        <f t="shared" si="240"/>
        <v>840</v>
      </c>
      <c r="E840" s="194" t="s">
        <v>253</v>
      </c>
      <c r="F840" s="198">
        <f t="shared" si="242"/>
        <v>839</v>
      </c>
      <c r="G840" s="193" t="s">
        <v>240</v>
      </c>
      <c r="H840" s="193"/>
      <c r="I840" s="211">
        <v>25</v>
      </c>
      <c r="J840" s="195" t="str">
        <f t="shared" si="243"/>
        <v>9522 mm</v>
      </c>
      <c r="K840" s="221">
        <v>2</v>
      </c>
      <c r="L840" s="195" t="s">
        <v>81</v>
      </c>
      <c r="M840" s="204">
        <v>4</v>
      </c>
      <c r="N840" s="195" t="s">
        <v>81</v>
      </c>
      <c r="O840" s="205">
        <v>1</v>
      </c>
      <c r="P840" s="195" t="s">
        <v>162</v>
      </c>
      <c r="Q840" s="227">
        <f t="shared" si="241"/>
        <v>4</v>
      </c>
      <c r="R840" s="226"/>
      <c r="S840" s="227">
        <f t="shared" si="215"/>
        <v>4</v>
      </c>
      <c r="T840" s="203" t="s">
        <v>48</v>
      </c>
      <c r="U840" s="183" t="str">
        <f t="shared" si="214"/>
        <v>4 Hrs</v>
      </c>
    </row>
    <row r="841" spans="3:21" s="172" customFormat="1" ht="20.25" customHeight="1">
      <c r="C841" s="185"/>
      <c r="D841" s="190">
        <f t="shared" si="240"/>
        <v>841</v>
      </c>
      <c r="E841" s="194" t="s">
        <v>254</v>
      </c>
      <c r="F841" s="198">
        <f t="shared" si="242"/>
        <v>840</v>
      </c>
      <c r="G841" s="193" t="s">
        <v>61</v>
      </c>
      <c r="H841" s="193"/>
      <c r="I841" s="211">
        <v>25</v>
      </c>
      <c r="J841" s="195" t="str">
        <f t="shared" si="243"/>
        <v>9522 mm</v>
      </c>
      <c r="K841" s="221">
        <v>2</v>
      </c>
      <c r="L841" s="195" t="s">
        <v>81</v>
      </c>
      <c r="M841" s="204">
        <v>4</v>
      </c>
      <c r="N841" s="195" t="s">
        <v>81</v>
      </c>
      <c r="O841" s="205">
        <v>1</v>
      </c>
      <c r="P841" s="195" t="s">
        <v>162</v>
      </c>
      <c r="Q841" s="227">
        <f t="shared" si="241"/>
        <v>4</v>
      </c>
      <c r="R841" s="226"/>
      <c r="S841" s="227">
        <f t="shared" si="215"/>
        <v>4</v>
      </c>
      <c r="T841" s="203" t="s">
        <v>48</v>
      </c>
      <c r="U841" s="183" t="str">
        <f t="shared" si="214"/>
        <v>4 Hrs</v>
      </c>
    </row>
    <row r="842" spans="3:21" s="172" customFormat="1" ht="20.25" customHeight="1">
      <c r="C842" s="185">
        <f>D842</f>
        <v>842</v>
      </c>
      <c r="D842" s="190">
        <f t="shared" si="240"/>
        <v>842</v>
      </c>
      <c r="E842" s="191" t="s">
        <v>255</v>
      </c>
      <c r="F842" s="197">
        <f>D1281</f>
        <v>1271</v>
      </c>
      <c r="G842" s="193"/>
      <c r="H842" s="193"/>
      <c r="I842" s="195"/>
      <c r="J842" s="195"/>
      <c r="K842" s="221"/>
      <c r="L842" s="195"/>
      <c r="M842" s="204"/>
      <c r="N842" s="195"/>
      <c r="O842" s="205"/>
      <c r="P842" s="195"/>
      <c r="Q842" s="227"/>
      <c r="R842" s="226"/>
      <c r="S842" s="227"/>
      <c r="T842" s="203"/>
      <c r="U842" s="183"/>
    </row>
    <row r="843" spans="3:21" s="172" customFormat="1" ht="20.25" customHeight="1">
      <c r="C843" s="185"/>
      <c r="D843" s="190">
        <f t="shared" si="240"/>
        <v>843</v>
      </c>
      <c r="E843" s="194" t="s">
        <v>256</v>
      </c>
      <c r="F843" s="198"/>
      <c r="G843" s="193" t="s">
        <v>44</v>
      </c>
      <c r="H843" s="193"/>
      <c r="I843" s="211">
        <v>8</v>
      </c>
      <c r="J843" s="221" t="s">
        <v>257</v>
      </c>
      <c r="K843" s="221">
        <v>2</v>
      </c>
      <c r="L843" s="195" t="s">
        <v>81</v>
      </c>
      <c r="M843" s="214">
        <f>LEFT(J843,SEARCH(" ",J843,1)-1)*K843*0.001</f>
        <v>26.731999999999999</v>
      </c>
      <c r="N843" s="195" t="s">
        <v>249</v>
      </c>
      <c r="O843" s="233">
        <f>VLOOKUP(I843,BM!$B$3:$Y$62,2,FALSE)</f>
        <v>0.1</v>
      </c>
      <c r="P843" s="195" t="s">
        <v>162</v>
      </c>
      <c r="Q843" s="227">
        <f t="shared" ref="Q843:Q848" si="244">M843*O843</f>
        <v>2.6732</v>
      </c>
      <c r="R843" s="226"/>
      <c r="S843" s="227">
        <f t="shared" si="215"/>
        <v>2.67</v>
      </c>
      <c r="T843" s="203" t="s">
        <v>48</v>
      </c>
      <c r="U843" s="183" t="str">
        <f t="shared" si="214"/>
        <v>2.67 Hrs</v>
      </c>
    </row>
    <row r="844" spans="3:21" s="172" customFormat="1" ht="20.25" customHeight="1">
      <c r="C844" s="185"/>
      <c r="D844" s="190">
        <f t="shared" si="240"/>
        <v>844</v>
      </c>
      <c r="E844" s="194" t="s">
        <v>258</v>
      </c>
      <c r="F844" s="198">
        <f t="shared" ref="F844:F848" si="245">D843</f>
        <v>843</v>
      </c>
      <c r="G844" s="193" t="s">
        <v>52</v>
      </c>
      <c r="H844" s="193"/>
      <c r="I844" s="220">
        <f t="shared" ref="I844:K844" si="246">I843</f>
        <v>8</v>
      </c>
      <c r="J844" s="198" t="str">
        <f t="shared" si="246"/>
        <v>13366 mm</v>
      </c>
      <c r="K844" s="212">
        <f t="shared" si="246"/>
        <v>2</v>
      </c>
      <c r="L844" s="195" t="s">
        <v>81</v>
      </c>
      <c r="M844" s="214">
        <f>LEFT(J844,SEARCH(" ",J844,1)-1)*K844*0.001</f>
        <v>26.731999999999999</v>
      </c>
      <c r="N844" s="195" t="s">
        <v>249</v>
      </c>
      <c r="O844" s="233">
        <f>VLOOKUP(I844,BM!$B$3:$Y$62,3,FALSE)</f>
        <v>0.25</v>
      </c>
      <c r="P844" s="195" t="s">
        <v>162</v>
      </c>
      <c r="Q844" s="227">
        <f t="shared" si="244"/>
        <v>6.6829999999999998</v>
      </c>
      <c r="R844" s="226"/>
      <c r="S844" s="227">
        <f t="shared" si="215"/>
        <v>6.68</v>
      </c>
      <c r="T844" s="203" t="s">
        <v>48</v>
      </c>
      <c r="U844" s="183" t="str">
        <f t="shared" si="214"/>
        <v>6.68 Hrs</v>
      </c>
    </row>
    <row r="845" spans="3:21" s="172" customFormat="1" ht="20.25" customHeight="1">
      <c r="C845" s="185"/>
      <c r="D845" s="190">
        <f t="shared" si="240"/>
        <v>845</v>
      </c>
      <c r="E845" s="194" t="s">
        <v>259</v>
      </c>
      <c r="F845" s="198">
        <f t="shared" si="245"/>
        <v>844</v>
      </c>
      <c r="G845" s="193" t="s">
        <v>201</v>
      </c>
      <c r="H845" s="193"/>
      <c r="I845" s="220">
        <f t="shared" ref="I845:K845" si="247">I844</f>
        <v>8</v>
      </c>
      <c r="J845" s="198" t="str">
        <f t="shared" si="247"/>
        <v>13366 mm</v>
      </c>
      <c r="K845" s="212">
        <f t="shared" si="247"/>
        <v>2</v>
      </c>
      <c r="L845" s="195" t="s">
        <v>81</v>
      </c>
      <c r="M845" s="222">
        <f>K845</f>
        <v>2</v>
      </c>
      <c r="N845" s="195" t="s">
        <v>81</v>
      </c>
      <c r="O845" s="205">
        <v>2</v>
      </c>
      <c r="P845" s="195" t="s">
        <v>162</v>
      </c>
      <c r="Q845" s="227">
        <f t="shared" si="244"/>
        <v>4</v>
      </c>
      <c r="R845" s="226"/>
      <c r="S845" s="227">
        <f t="shared" si="215"/>
        <v>4</v>
      </c>
      <c r="T845" s="203" t="s">
        <v>48</v>
      </c>
      <c r="U845" s="183" t="str">
        <f t="shared" si="214"/>
        <v>4 Hrs</v>
      </c>
    </row>
    <row r="846" spans="3:21" s="172" customFormat="1" ht="20.25" customHeight="1">
      <c r="C846" s="185"/>
      <c r="D846" s="190">
        <f t="shared" si="240"/>
        <v>846</v>
      </c>
      <c r="E846" s="194" t="s">
        <v>260</v>
      </c>
      <c r="F846" s="198">
        <f t="shared" si="245"/>
        <v>845</v>
      </c>
      <c r="G846" s="193" t="s">
        <v>61</v>
      </c>
      <c r="H846" s="193"/>
      <c r="I846" s="220">
        <f t="shared" ref="I846:K846" si="248">I845</f>
        <v>8</v>
      </c>
      <c r="J846" s="198" t="str">
        <f t="shared" si="248"/>
        <v>13366 mm</v>
      </c>
      <c r="K846" s="212">
        <f t="shared" si="248"/>
        <v>2</v>
      </c>
      <c r="L846" s="195" t="s">
        <v>81</v>
      </c>
      <c r="M846" s="204">
        <v>4</v>
      </c>
      <c r="N846" s="195" t="s">
        <v>81</v>
      </c>
      <c r="O846" s="205">
        <v>4</v>
      </c>
      <c r="P846" s="195" t="s">
        <v>162</v>
      </c>
      <c r="Q846" s="227">
        <f t="shared" si="244"/>
        <v>16</v>
      </c>
      <c r="R846" s="226"/>
      <c r="S846" s="227">
        <f t="shared" si="215"/>
        <v>16</v>
      </c>
      <c r="T846" s="203" t="s">
        <v>48</v>
      </c>
      <c r="U846" s="183" t="str">
        <f t="shared" si="214"/>
        <v>16 Hrs</v>
      </c>
    </row>
    <row r="847" spans="3:21" s="172" customFormat="1" ht="20.25" customHeight="1">
      <c r="C847" s="185"/>
      <c r="D847" s="190">
        <f t="shared" si="240"/>
        <v>847</v>
      </c>
      <c r="E847" s="194" t="s">
        <v>261</v>
      </c>
      <c r="F847" s="198">
        <f t="shared" si="245"/>
        <v>846</v>
      </c>
      <c r="G847" s="193" t="s">
        <v>240</v>
      </c>
      <c r="H847" s="193"/>
      <c r="I847" s="220">
        <f t="shared" ref="I847:K847" si="249">I846</f>
        <v>8</v>
      </c>
      <c r="J847" s="198" t="str">
        <f t="shared" si="249"/>
        <v>13366 mm</v>
      </c>
      <c r="K847" s="212">
        <f t="shared" si="249"/>
        <v>2</v>
      </c>
      <c r="L847" s="195" t="s">
        <v>81</v>
      </c>
      <c r="M847" s="204">
        <v>4</v>
      </c>
      <c r="N847" s="195" t="s">
        <v>81</v>
      </c>
      <c r="O847" s="205">
        <v>1</v>
      </c>
      <c r="P847" s="195" t="s">
        <v>162</v>
      </c>
      <c r="Q847" s="227">
        <f t="shared" si="244"/>
        <v>4</v>
      </c>
      <c r="R847" s="226"/>
      <c r="S847" s="227">
        <f t="shared" si="215"/>
        <v>4</v>
      </c>
      <c r="T847" s="203" t="s">
        <v>48</v>
      </c>
      <c r="U847" s="183" t="str">
        <f t="shared" si="214"/>
        <v>4 Hrs</v>
      </c>
    </row>
    <row r="848" spans="3:21" s="172" customFormat="1" ht="20.25" customHeight="1">
      <c r="C848" s="185"/>
      <c r="D848" s="190">
        <f t="shared" si="240"/>
        <v>848</v>
      </c>
      <c r="E848" s="194" t="s">
        <v>262</v>
      </c>
      <c r="F848" s="198">
        <f t="shared" si="245"/>
        <v>847</v>
      </c>
      <c r="G848" s="193" t="s">
        <v>61</v>
      </c>
      <c r="H848" s="193"/>
      <c r="I848" s="220">
        <f t="shared" ref="I848:K848" si="250">I847</f>
        <v>8</v>
      </c>
      <c r="J848" s="198" t="str">
        <f t="shared" si="250"/>
        <v>13366 mm</v>
      </c>
      <c r="K848" s="212">
        <f t="shared" si="250"/>
        <v>2</v>
      </c>
      <c r="L848" s="195" t="s">
        <v>81</v>
      </c>
      <c r="M848" s="204">
        <v>4</v>
      </c>
      <c r="N848" s="195" t="s">
        <v>81</v>
      </c>
      <c r="O848" s="205">
        <v>1</v>
      </c>
      <c r="P848" s="195" t="s">
        <v>162</v>
      </c>
      <c r="Q848" s="227">
        <f t="shared" si="244"/>
        <v>4</v>
      </c>
      <c r="R848" s="226"/>
      <c r="S848" s="227">
        <f t="shared" si="215"/>
        <v>4</v>
      </c>
      <c r="T848" s="203" t="s">
        <v>48</v>
      </c>
      <c r="U848" s="183" t="str">
        <f t="shared" si="214"/>
        <v>4 Hrs</v>
      </c>
    </row>
    <row r="849" spans="3:21" s="172" customFormat="1" ht="20.25" customHeight="1">
      <c r="C849" s="185">
        <f>D849</f>
        <v>849</v>
      </c>
      <c r="D849" s="190">
        <f t="shared" si="240"/>
        <v>849</v>
      </c>
      <c r="E849" s="191" t="s">
        <v>263</v>
      </c>
      <c r="F849" s="197">
        <f>D1282</f>
        <v>1272</v>
      </c>
      <c r="G849" s="193"/>
      <c r="H849" s="193"/>
      <c r="I849" s="195"/>
      <c r="J849" s="195"/>
      <c r="K849" s="221"/>
      <c r="L849" s="195"/>
      <c r="M849" s="204"/>
      <c r="N849" s="195"/>
      <c r="O849" s="205"/>
      <c r="P849" s="195"/>
      <c r="Q849" s="227"/>
      <c r="R849" s="226"/>
      <c r="S849" s="227"/>
      <c r="T849" s="203"/>
      <c r="U849" s="183"/>
    </row>
    <row r="850" spans="3:21" s="172" customFormat="1" ht="20.25" customHeight="1">
      <c r="C850" s="185"/>
      <c r="D850" s="190">
        <f t="shared" si="240"/>
        <v>850</v>
      </c>
      <c r="E850" s="194" t="s">
        <v>264</v>
      </c>
      <c r="F850" s="198"/>
      <c r="G850" s="193" t="s">
        <v>37</v>
      </c>
      <c r="H850" s="193"/>
      <c r="I850" s="195"/>
      <c r="J850" s="195"/>
      <c r="K850" s="221">
        <v>1</v>
      </c>
      <c r="L850" s="195" t="s">
        <v>84</v>
      </c>
      <c r="M850" s="204">
        <v>1</v>
      </c>
      <c r="N850" s="195"/>
      <c r="O850" s="205">
        <v>4</v>
      </c>
      <c r="P850" s="195" t="s">
        <v>41</v>
      </c>
      <c r="Q850" s="227">
        <f t="shared" ref="Q850:Q853" si="251">M850*O850</f>
        <v>4</v>
      </c>
      <c r="R850" s="226"/>
      <c r="S850" s="227">
        <f t="shared" si="215"/>
        <v>4</v>
      </c>
      <c r="T850" s="203" t="s">
        <v>42</v>
      </c>
      <c r="U850" s="183" t="str">
        <f t="shared" si="214"/>
        <v>4 Days</v>
      </c>
    </row>
    <row r="851" spans="3:21" s="172" customFormat="1" ht="20.25" customHeight="1">
      <c r="C851" s="185"/>
      <c r="D851" s="190">
        <f t="shared" si="240"/>
        <v>851</v>
      </c>
      <c r="E851" s="194" t="s">
        <v>265</v>
      </c>
      <c r="F851" s="198">
        <f t="shared" ref="F851:F853" si="252">D850</f>
        <v>850</v>
      </c>
      <c r="G851" s="193" t="s">
        <v>44</v>
      </c>
      <c r="H851" s="193"/>
      <c r="I851" s="211" t="s">
        <v>266</v>
      </c>
      <c r="J851" s="212">
        <v>14</v>
      </c>
      <c r="K851" s="221">
        <v>14</v>
      </c>
      <c r="L851" s="195" t="s">
        <v>81</v>
      </c>
      <c r="M851" s="222">
        <f>K851</f>
        <v>14</v>
      </c>
      <c r="N851" s="195" t="s">
        <v>81</v>
      </c>
      <c r="O851" s="205">
        <v>0.25</v>
      </c>
      <c r="P851" s="195" t="s">
        <v>162</v>
      </c>
      <c r="Q851" s="227">
        <f t="shared" si="251"/>
        <v>3.5</v>
      </c>
      <c r="R851" s="226"/>
      <c r="S851" s="227">
        <f t="shared" si="215"/>
        <v>3.5</v>
      </c>
      <c r="T851" s="203" t="s">
        <v>48</v>
      </c>
      <c r="U851" s="183" t="str">
        <f t="shared" si="214"/>
        <v>3.5 Hrs</v>
      </c>
    </row>
    <row r="852" spans="3:21" s="172" customFormat="1" ht="20.25" customHeight="1">
      <c r="C852" s="185"/>
      <c r="D852" s="190">
        <f t="shared" si="240"/>
        <v>852</v>
      </c>
      <c r="E852" s="194" t="s">
        <v>267</v>
      </c>
      <c r="F852" s="198">
        <f t="shared" si="252"/>
        <v>851</v>
      </c>
      <c r="G852" s="193" t="s">
        <v>44</v>
      </c>
      <c r="H852" s="193"/>
      <c r="I852" s="220" t="str">
        <f t="shared" ref="I852:J852" si="253">I851</f>
        <v>25.4 dia</v>
      </c>
      <c r="J852" s="198">
        <f t="shared" si="253"/>
        <v>14</v>
      </c>
      <c r="K852" s="212">
        <f t="shared" ref="K852" si="254">K851</f>
        <v>14</v>
      </c>
      <c r="L852" s="195" t="s">
        <v>81</v>
      </c>
      <c r="M852" s="222">
        <f>K852</f>
        <v>14</v>
      </c>
      <c r="N852" s="195" t="s">
        <v>81</v>
      </c>
      <c r="O852" s="205">
        <v>0.5</v>
      </c>
      <c r="P852" s="195" t="s">
        <v>162</v>
      </c>
      <c r="Q852" s="227">
        <f t="shared" si="251"/>
        <v>7</v>
      </c>
      <c r="R852" s="226"/>
      <c r="S852" s="227">
        <f t="shared" si="215"/>
        <v>7</v>
      </c>
      <c r="T852" s="203" t="s">
        <v>48</v>
      </c>
      <c r="U852" s="183" t="str">
        <f t="shared" si="214"/>
        <v>7 Hrs</v>
      </c>
    </row>
    <row r="853" spans="3:21" s="172" customFormat="1" ht="20.25" customHeight="1">
      <c r="C853" s="185"/>
      <c r="D853" s="190">
        <f t="shared" si="240"/>
        <v>853</v>
      </c>
      <c r="E853" s="194" t="s">
        <v>268</v>
      </c>
      <c r="F853" s="198">
        <f t="shared" si="252"/>
        <v>852</v>
      </c>
      <c r="G853" s="193" t="s">
        <v>201</v>
      </c>
      <c r="H853" s="193"/>
      <c r="I853" s="220" t="str">
        <f t="shared" ref="I853:J853" si="255">I852</f>
        <v>25.4 dia</v>
      </c>
      <c r="J853" s="198">
        <f t="shared" si="255"/>
        <v>14</v>
      </c>
      <c r="K853" s="212">
        <f t="shared" ref="K853" si="256">K852</f>
        <v>14</v>
      </c>
      <c r="L853" s="195" t="s">
        <v>81</v>
      </c>
      <c r="M853" s="222">
        <f>K853</f>
        <v>14</v>
      </c>
      <c r="N853" s="195" t="s">
        <v>81</v>
      </c>
      <c r="O853" s="205">
        <v>1</v>
      </c>
      <c r="P853" s="195" t="s">
        <v>162</v>
      </c>
      <c r="Q853" s="227">
        <f t="shared" si="251"/>
        <v>14</v>
      </c>
      <c r="R853" s="226"/>
      <c r="S853" s="227">
        <f t="shared" si="215"/>
        <v>14</v>
      </c>
      <c r="T853" s="203" t="s">
        <v>48</v>
      </c>
      <c r="U853" s="183" t="str">
        <f t="shared" si="214"/>
        <v>14 Hrs</v>
      </c>
    </row>
    <row r="854" spans="3:21" s="172" customFormat="1" ht="20.25" customHeight="1">
      <c r="C854" s="185">
        <f t="shared" ref="C854:C855" si="257">D854</f>
        <v>854</v>
      </c>
      <c r="D854" s="190">
        <f t="shared" si="240"/>
        <v>854</v>
      </c>
      <c r="E854" s="237" t="s">
        <v>269</v>
      </c>
      <c r="F854" s="198"/>
      <c r="G854" s="193"/>
      <c r="H854" s="193"/>
      <c r="I854" s="195"/>
      <c r="J854" s="195"/>
      <c r="K854" s="221"/>
      <c r="L854" s="195"/>
      <c r="M854" s="204"/>
      <c r="N854" s="195"/>
      <c r="O854" s="205"/>
      <c r="P854" s="195"/>
      <c r="Q854" s="227"/>
      <c r="R854" s="226"/>
      <c r="S854" s="227"/>
      <c r="T854" s="203"/>
      <c r="U854" s="183"/>
    </row>
    <row r="855" spans="3:21" s="172" customFormat="1" ht="20.25" customHeight="1">
      <c r="C855" s="185">
        <f t="shared" si="257"/>
        <v>855</v>
      </c>
      <c r="D855" s="190">
        <f t="shared" si="240"/>
        <v>855</v>
      </c>
      <c r="E855" s="191" t="s">
        <v>270</v>
      </c>
      <c r="F855" s="197">
        <f>D1099</f>
        <v>1099</v>
      </c>
      <c r="G855" s="193"/>
      <c r="H855" s="193"/>
      <c r="I855" s="195"/>
      <c r="J855" s="195"/>
      <c r="K855" s="221"/>
      <c r="L855" s="195"/>
      <c r="M855" s="204"/>
      <c r="N855" s="195"/>
      <c r="O855" s="205"/>
      <c r="P855" s="195"/>
      <c r="Q855" s="227"/>
      <c r="R855" s="226"/>
      <c r="S855" s="227"/>
      <c r="T855" s="203"/>
      <c r="U855" s="183"/>
    </row>
    <row r="856" spans="3:21" s="172" customFormat="1" ht="20.25" customHeight="1">
      <c r="C856" s="185"/>
      <c r="D856" s="190">
        <f t="shared" si="240"/>
        <v>856</v>
      </c>
      <c r="E856" s="194" t="s">
        <v>271</v>
      </c>
      <c r="F856" s="198"/>
      <c r="G856" s="193" t="s">
        <v>37</v>
      </c>
      <c r="H856" s="193"/>
      <c r="I856" s="195"/>
      <c r="J856" s="195"/>
      <c r="K856" s="221">
        <v>1</v>
      </c>
      <c r="L856" s="195" t="s">
        <v>84</v>
      </c>
      <c r="M856" s="204">
        <v>1</v>
      </c>
      <c r="N856" s="195"/>
      <c r="O856" s="205">
        <v>4</v>
      </c>
      <c r="P856" s="195" t="s">
        <v>41</v>
      </c>
      <c r="Q856" s="227">
        <f t="shared" ref="Q856:Q857" si="258">M856*O856</f>
        <v>4</v>
      </c>
      <c r="R856" s="226"/>
      <c r="S856" s="227">
        <f t="shared" si="215"/>
        <v>4</v>
      </c>
      <c r="T856" s="203" t="s">
        <v>42</v>
      </c>
      <c r="U856" s="183" t="str">
        <f t="shared" si="214"/>
        <v>4 Days</v>
      </c>
    </row>
    <row r="857" spans="3:21" s="172" customFormat="1" ht="20.25" customHeight="1">
      <c r="C857" s="185"/>
      <c r="D857" s="190">
        <f t="shared" si="240"/>
        <v>857</v>
      </c>
      <c r="E857" s="194" t="s">
        <v>272</v>
      </c>
      <c r="F857" s="198">
        <f t="shared" ref="F857" si="259">D856</f>
        <v>856</v>
      </c>
      <c r="G857" s="193" t="s">
        <v>201</v>
      </c>
      <c r="H857" s="193"/>
      <c r="I857" s="211">
        <v>18</v>
      </c>
      <c r="J857" s="212" t="s">
        <v>273</v>
      </c>
      <c r="K857" s="221">
        <v>1</v>
      </c>
      <c r="L857" s="195" t="s">
        <v>81</v>
      </c>
      <c r="M857" s="214">
        <f>LEFT(J857,SEARCH(" ",J857,1)-1)*K857*0.001</f>
        <v>43</v>
      </c>
      <c r="N857" s="195" t="s">
        <v>139</v>
      </c>
      <c r="O857" s="233">
        <f>VLOOKUP(I857,BM!$B$3:$Y$62,2,FALSE)</f>
        <v>0.1</v>
      </c>
      <c r="P857" s="195" t="s">
        <v>112</v>
      </c>
      <c r="Q857" s="227">
        <f t="shared" si="258"/>
        <v>4.3</v>
      </c>
      <c r="R857" s="226">
        <v>1</v>
      </c>
      <c r="S857" s="227">
        <f t="shared" si="215"/>
        <v>5.3</v>
      </c>
      <c r="T857" s="203" t="s">
        <v>48</v>
      </c>
      <c r="U857" s="183" t="str">
        <f t="shared" si="214"/>
        <v>5.3 Hrs</v>
      </c>
    </row>
    <row r="858" spans="3:21" s="172" customFormat="1" ht="20.25" customHeight="1">
      <c r="C858" s="185">
        <f>D858</f>
        <v>858</v>
      </c>
      <c r="D858" s="190">
        <f t="shared" si="240"/>
        <v>858</v>
      </c>
      <c r="E858" s="191" t="s">
        <v>274</v>
      </c>
      <c r="F858" s="197">
        <f>D855</f>
        <v>855</v>
      </c>
      <c r="G858" s="193"/>
      <c r="H858" s="193"/>
      <c r="I858" s="195"/>
      <c r="J858" s="195"/>
      <c r="K858" s="221"/>
      <c r="L858" s="195"/>
      <c r="M858" s="204"/>
      <c r="N858" s="195"/>
      <c r="O858" s="205"/>
      <c r="P858" s="195"/>
      <c r="Q858" s="227"/>
      <c r="R858" s="226"/>
      <c r="S858" s="227"/>
      <c r="T858" s="203"/>
      <c r="U858" s="183"/>
    </row>
    <row r="859" spans="3:21" s="172" customFormat="1" ht="20.25" customHeight="1">
      <c r="C859" s="185"/>
      <c r="D859" s="190">
        <f t="shared" si="240"/>
        <v>859</v>
      </c>
      <c r="E859" s="194" t="s">
        <v>275</v>
      </c>
      <c r="F859" s="198">
        <f t="shared" ref="F859" si="260">D858</f>
        <v>858</v>
      </c>
      <c r="G859" s="193" t="s">
        <v>276</v>
      </c>
      <c r="H859" s="193"/>
      <c r="I859" s="211">
        <v>18</v>
      </c>
      <c r="J859" s="212" t="s">
        <v>273</v>
      </c>
      <c r="K859" s="221">
        <v>3</v>
      </c>
      <c r="L859" s="195" t="s">
        <v>81</v>
      </c>
      <c r="M859" s="214">
        <f>LEFT(J859,SEARCH(" ",J859,1)-1)*K859*0.001</f>
        <v>129</v>
      </c>
      <c r="N859" s="195" t="s">
        <v>139</v>
      </c>
      <c r="O859" s="233">
        <f>VLOOKUP(I859,BM!$B$3:$Y$62,3,FALSE)</f>
        <v>0.25</v>
      </c>
      <c r="P859" s="195" t="s">
        <v>112</v>
      </c>
      <c r="Q859" s="227">
        <f t="shared" ref="Q859" si="261">M859*O859</f>
        <v>32.25</v>
      </c>
      <c r="R859" s="226">
        <v>1</v>
      </c>
      <c r="S859" s="227">
        <f t="shared" si="215"/>
        <v>33.25</v>
      </c>
      <c r="T859" s="203" t="s">
        <v>48</v>
      </c>
      <c r="U859" s="183" t="str">
        <f t="shared" si="214"/>
        <v>33.25 Hrs</v>
      </c>
    </row>
    <row r="860" spans="3:21" s="172" customFormat="1" ht="20.25" customHeight="1">
      <c r="C860" s="185">
        <f>D860</f>
        <v>860</v>
      </c>
      <c r="D860" s="190">
        <f t="shared" si="240"/>
        <v>860</v>
      </c>
      <c r="E860" s="191" t="s">
        <v>277</v>
      </c>
      <c r="F860" s="197">
        <f>D858</f>
        <v>858</v>
      </c>
      <c r="G860" s="193"/>
      <c r="H860" s="193"/>
      <c r="I860" s="195"/>
      <c r="J860" s="195"/>
      <c r="K860" s="221"/>
      <c r="L860" s="195"/>
      <c r="M860" s="204"/>
      <c r="N860" s="195"/>
      <c r="O860" s="205"/>
      <c r="P860" s="195"/>
      <c r="Q860" s="227"/>
      <c r="R860" s="226"/>
      <c r="S860" s="227"/>
      <c r="T860" s="203"/>
      <c r="U860" s="183"/>
    </row>
    <row r="861" spans="3:21" s="172" customFormat="1" ht="20.25" customHeight="1">
      <c r="C861" s="185"/>
      <c r="D861" s="190">
        <f t="shared" si="240"/>
        <v>861</v>
      </c>
      <c r="E861" s="194" t="s">
        <v>278</v>
      </c>
      <c r="F861" s="198">
        <f t="shared" ref="F861:F864" si="262">D860</f>
        <v>860</v>
      </c>
      <c r="G861" s="193" t="s">
        <v>52</v>
      </c>
      <c r="H861" s="193"/>
      <c r="I861" s="211">
        <v>18</v>
      </c>
      <c r="J861" s="221" t="s">
        <v>279</v>
      </c>
      <c r="K861" s="221">
        <v>1</v>
      </c>
      <c r="L861" s="195" t="s">
        <v>81</v>
      </c>
      <c r="M861" s="214">
        <f>LEFT(J861,SEARCH(" ",J861,1)-1)*K861*0.001</f>
        <v>2.5</v>
      </c>
      <c r="N861" s="195" t="s">
        <v>139</v>
      </c>
      <c r="O861" s="233">
        <f>VLOOKUP(I861,BM!$B$3:$Y$62,5,FALSE)</f>
        <v>0.5</v>
      </c>
      <c r="P861" s="195" t="s">
        <v>112</v>
      </c>
      <c r="Q861" s="227">
        <f t="shared" ref="Q861:Q864" si="263">M861*O861</f>
        <v>1.25</v>
      </c>
      <c r="R861" s="226">
        <v>1</v>
      </c>
      <c r="S861" s="227">
        <f t="shared" ref="S861:S924" si="264">ROUND(Q861+R861,2)</f>
        <v>2.25</v>
      </c>
      <c r="T861" s="203" t="s">
        <v>48</v>
      </c>
      <c r="U861" s="183" t="str">
        <f t="shared" ref="U861:U923" si="265">CONCATENATE(S861," ",T861)</f>
        <v>2.25 Hrs</v>
      </c>
    </row>
    <row r="862" spans="3:21" s="172" customFormat="1" ht="20.25" customHeight="1">
      <c r="C862" s="185"/>
      <c r="D862" s="190">
        <f t="shared" si="240"/>
        <v>862</v>
      </c>
      <c r="E862" s="194" t="s">
        <v>278</v>
      </c>
      <c r="F862" s="198">
        <f t="shared" si="262"/>
        <v>861</v>
      </c>
      <c r="G862" s="193" t="s">
        <v>52</v>
      </c>
      <c r="H862" s="193"/>
      <c r="I862" s="220">
        <f>I861</f>
        <v>18</v>
      </c>
      <c r="J862" s="212" t="s">
        <v>279</v>
      </c>
      <c r="K862" s="221">
        <v>1</v>
      </c>
      <c r="L862" s="195" t="s">
        <v>81</v>
      </c>
      <c r="M862" s="214">
        <f>LEFT(J862,SEARCH(" ",J862,1)-1)*K862*0.001</f>
        <v>2.5</v>
      </c>
      <c r="N862" s="195" t="s">
        <v>139</v>
      </c>
      <c r="O862" s="233">
        <f>VLOOKUP(I862,BM!$B$3:$Y$62,5,FALSE)</f>
        <v>0.5</v>
      </c>
      <c r="P862" s="195" t="s">
        <v>112</v>
      </c>
      <c r="Q862" s="227">
        <f t="shared" si="263"/>
        <v>1.25</v>
      </c>
      <c r="R862" s="226">
        <v>1</v>
      </c>
      <c r="S862" s="227">
        <f t="shared" si="264"/>
        <v>2.25</v>
      </c>
      <c r="T862" s="203" t="s">
        <v>48</v>
      </c>
      <c r="U862" s="183" t="str">
        <f t="shared" si="265"/>
        <v>2.25 Hrs</v>
      </c>
    </row>
    <row r="863" spans="3:21" s="172" customFormat="1" ht="20.25" customHeight="1">
      <c r="C863" s="185"/>
      <c r="D863" s="190">
        <f t="shared" si="240"/>
        <v>863</v>
      </c>
      <c r="E863" s="194" t="s">
        <v>278</v>
      </c>
      <c r="F863" s="198">
        <f t="shared" si="262"/>
        <v>862</v>
      </c>
      <c r="G863" s="193" t="s">
        <v>52</v>
      </c>
      <c r="H863" s="193"/>
      <c r="I863" s="220">
        <f>I862</f>
        <v>18</v>
      </c>
      <c r="J863" s="221" t="s">
        <v>280</v>
      </c>
      <c r="K863" s="221">
        <v>1</v>
      </c>
      <c r="L863" s="195" t="s">
        <v>81</v>
      </c>
      <c r="M863" s="214">
        <f t="shared" ref="M863:M864" si="266">LEFT(J863,SEARCH(" ",J863,1)-1)*K863*0.001</f>
        <v>1.25</v>
      </c>
      <c r="N863" s="195" t="s">
        <v>139</v>
      </c>
      <c r="O863" s="233">
        <f>VLOOKUP(I863,BM!$B$3:$Y$62,5,FALSE)</f>
        <v>0.5</v>
      </c>
      <c r="P863" s="195" t="s">
        <v>112</v>
      </c>
      <c r="Q863" s="227">
        <f t="shared" si="263"/>
        <v>0.625</v>
      </c>
      <c r="R863" s="226">
        <v>1</v>
      </c>
      <c r="S863" s="227">
        <f t="shared" si="264"/>
        <v>1.63</v>
      </c>
      <c r="T863" s="203" t="s">
        <v>48</v>
      </c>
      <c r="U863" s="183" t="str">
        <f t="shared" si="265"/>
        <v>1.63 Hrs</v>
      </c>
    </row>
    <row r="864" spans="3:21" s="172" customFormat="1" ht="20.25" customHeight="1">
      <c r="C864" s="185"/>
      <c r="D864" s="190">
        <f t="shared" si="240"/>
        <v>864</v>
      </c>
      <c r="E864" s="194" t="s">
        <v>278</v>
      </c>
      <c r="F864" s="198">
        <f t="shared" si="262"/>
        <v>863</v>
      </c>
      <c r="G864" s="193" t="s">
        <v>52</v>
      </c>
      <c r="H864" s="193"/>
      <c r="I864" s="220">
        <f>I863</f>
        <v>18</v>
      </c>
      <c r="J864" s="221" t="s">
        <v>281</v>
      </c>
      <c r="K864" s="221">
        <v>1</v>
      </c>
      <c r="L864" s="195" t="s">
        <v>81</v>
      </c>
      <c r="M864" s="214">
        <f t="shared" si="266"/>
        <v>0</v>
      </c>
      <c r="N864" s="195" t="s">
        <v>139</v>
      </c>
      <c r="O864" s="233">
        <f>VLOOKUP(I864,BM!$B$3:$Y$62,5,FALSE)</f>
        <v>0.5</v>
      </c>
      <c r="P864" s="195" t="s">
        <v>112</v>
      </c>
      <c r="Q864" s="227">
        <f t="shared" si="263"/>
        <v>0</v>
      </c>
      <c r="R864" s="226"/>
      <c r="S864" s="227"/>
      <c r="T864" s="203" t="s">
        <v>48</v>
      </c>
      <c r="U864" s="183"/>
    </row>
    <row r="865" spans="3:21" s="172" customFormat="1" ht="20.25" customHeight="1">
      <c r="C865" s="185">
        <f>D865</f>
        <v>865</v>
      </c>
      <c r="D865" s="190">
        <f t="shared" si="240"/>
        <v>865</v>
      </c>
      <c r="E865" s="191" t="s">
        <v>282</v>
      </c>
      <c r="F865" s="197">
        <f>D860</f>
        <v>860</v>
      </c>
      <c r="G865" s="193"/>
      <c r="H865" s="193"/>
      <c r="I865" s="195"/>
      <c r="J865" s="195"/>
      <c r="K865" s="221"/>
      <c r="L865" s="195"/>
      <c r="M865" s="204"/>
      <c r="N865" s="195"/>
      <c r="O865" s="205"/>
      <c r="P865" s="195"/>
      <c r="Q865" s="227"/>
      <c r="R865" s="226"/>
      <c r="S865" s="227"/>
      <c r="T865" s="203"/>
      <c r="U865" s="183"/>
    </row>
    <row r="866" spans="3:21" s="172" customFormat="1" ht="20.25" customHeight="1">
      <c r="C866" s="185"/>
      <c r="D866" s="190">
        <f t="shared" si="240"/>
        <v>866</v>
      </c>
      <c r="E866" s="194" t="s">
        <v>283</v>
      </c>
      <c r="F866" s="198"/>
      <c r="G866" s="193" t="s">
        <v>121</v>
      </c>
      <c r="H866" s="193"/>
      <c r="I866" s="220">
        <f>I864</f>
        <v>18</v>
      </c>
      <c r="J866" s="198" t="str">
        <f t="shared" ref="J866:K866" si="267">J861</f>
        <v>2500 mm</v>
      </c>
      <c r="K866" s="212">
        <f t="shared" si="267"/>
        <v>1</v>
      </c>
      <c r="L866" s="195" t="s">
        <v>81</v>
      </c>
      <c r="M866" s="214">
        <f t="shared" ref="M866:M869" si="268">LEFT(J866,SEARCH(" ",J866,1)-1)*K866*0.001</f>
        <v>2.5</v>
      </c>
      <c r="N866" s="195" t="s">
        <v>139</v>
      </c>
      <c r="O866" s="233">
        <f>VLOOKUP(I866,BM!$B$3:$Y$62,6,FALSE)</f>
        <v>1</v>
      </c>
      <c r="P866" s="195" t="s">
        <v>112</v>
      </c>
      <c r="Q866" s="227">
        <f t="shared" ref="Q866:Q869" si="269">M866*O866</f>
        <v>2.5</v>
      </c>
      <c r="R866" s="226">
        <v>1</v>
      </c>
      <c r="S866" s="227">
        <f t="shared" si="264"/>
        <v>3.5</v>
      </c>
      <c r="T866" s="203" t="s">
        <v>48</v>
      </c>
      <c r="U866" s="183" t="str">
        <f t="shared" si="265"/>
        <v>3.5 Hrs</v>
      </c>
    </row>
    <row r="867" spans="3:21" s="172" customFormat="1" ht="20.25" customHeight="1">
      <c r="C867" s="185"/>
      <c r="D867" s="190">
        <f t="shared" si="240"/>
        <v>867</v>
      </c>
      <c r="E867" s="194" t="s">
        <v>283</v>
      </c>
      <c r="F867" s="198">
        <f t="shared" ref="F867:F869" si="270">D866</f>
        <v>866</v>
      </c>
      <c r="G867" s="193" t="s">
        <v>121</v>
      </c>
      <c r="H867" s="193"/>
      <c r="I867" s="220">
        <f>I864</f>
        <v>18</v>
      </c>
      <c r="J867" s="198" t="str">
        <f t="shared" ref="J867:K867" si="271">J862</f>
        <v>2500 mm</v>
      </c>
      <c r="K867" s="212">
        <f t="shared" si="271"/>
        <v>1</v>
      </c>
      <c r="L867" s="195" t="s">
        <v>81</v>
      </c>
      <c r="M867" s="214">
        <f t="shared" si="268"/>
        <v>2.5</v>
      </c>
      <c r="N867" s="195" t="s">
        <v>139</v>
      </c>
      <c r="O867" s="233">
        <f>VLOOKUP(I867,BM!$B$3:$Y$62,6,FALSE)</f>
        <v>1</v>
      </c>
      <c r="P867" s="195" t="s">
        <v>112</v>
      </c>
      <c r="Q867" s="227">
        <f t="shared" si="269"/>
        <v>2.5</v>
      </c>
      <c r="R867" s="226">
        <v>1</v>
      </c>
      <c r="S867" s="227">
        <f t="shared" si="264"/>
        <v>3.5</v>
      </c>
      <c r="T867" s="203" t="s">
        <v>48</v>
      </c>
      <c r="U867" s="183" t="str">
        <f t="shared" si="265"/>
        <v>3.5 Hrs</v>
      </c>
    </row>
    <row r="868" spans="3:21" s="172" customFormat="1" ht="20.25" customHeight="1">
      <c r="C868" s="185"/>
      <c r="D868" s="190">
        <f t="shared" si="240"/>
        <v>868</v>
      </c>
      <c r="E868" s="194" t="s">
        <v>283</v>
      </c>
      <c r="F868" s="198">
        <f t="shared" si="270"/>
        <v>867</v>
      </c>
      <c r="G868" s="193" t="s">
        <v>121</v>
      </c>
      <c r="H868" s="193"/>
      <c r="I868" s="220">
        <f>I864</f>
        <v>18</v>
      </c>
      <c r="J868" s="198" t="str">
        <f t="shared" ref="J868:K868" si="272">J863</f>
        <v>1250 mm</v>
      </c>
      <c r="K868" s="212">
        <f t="shared" si="272"/>
        <v>1</v>
      </c>
      <c r="L868" s="195" t="s">
        <v>81</v>
      </c>
      <c r="M868" s="214">
        <f t="shared" si="268"/>
        <v>1.25</v>
      </c>
      <c r="N868" s="195" t="s">
        <v>139</v>
      </c>
      <c r="O868" s="233">
        <f>VLOOKUP(I868,BM!$B$3:$Y$62,6,FALSE)</f>
        <v>1</v>
      </c>
      <c r="P868" s="195" t="s">
        <v>112</v>
      </c>
      <c r="Q868" s="227">
        <f t="shared" si="269"/>
        <v>1.25</v>
      </c>
      <c r="R868" s="226">
        <v>1</v>
      </c>
      <c r="S868" s="227">
        <f t="shared" si="264"/>
        <v>2.25</v>
      </c>
      <c r="T868" s="203" t="s">
        <v>48</v>
      </c>
      <c r="U868" s="183" t="str">
        <f t="shared" si="265"/>
        <v>2.25 Hrs</v>
      </c>
    </row>
    <row r="869" spans="3:21" s="172" customFormat="1" ht="20.25" customHeight="1">
      <c r="C869" s="185"/>
      <c r="D869" s="190">
        <f t="shared" si="240"/>
        <v>869</v>
      </c>
      <c r="E869" s="194" t="s">
        <v>283</v>
      </c>
      <c r="F869" s="198">
        <f t="shared" si="270"/>
        <v>868</v>
      </c>
      <c r="G869" s="193" t="s">
        <v>121</v>
      </c>
      <c r="H869" s="193"/>
      <c r="I869" s="220">
        <f>I864</f>
        <v>18</v>
      </c>
      <c r="J869" s="198" t="str">
        <f t="shared" ref="J869:K869" si="273">J864</f>
        <v>0 mm</v>
      </c>
      <c r="K869" s="212">
        <f t="shared" si="273"/>
        <v>1</v>
      </c>
      <c r="L869" s="195" t="s">
        <v>81</v>
      </c>
      <c r="M869" s="214">
        <f t="shared" si="268"/>
        <v>0</v>
      </c>
      <c r="N869" s="195" t="s">
        <v>139</v>
      </c>
      <c r="O869" s="233">
        <f>VLOOKUP(I869,BM!$B$3:$Y$62,6,FALSE)</f>
        <v>1</v>
      </c>
      <c r="P869" s="195" t="s">
        <v>112</v>
      </c>
      <c r="Q869" s="227">
        <f t="shared" si="269"/>
        <v>0</v>
      </c>
      <c r="R869" s="226">
        <v>1</v>
      </c>
      <c r="S869" s="227">
        <f t="shared" si="264"/>
        <v>1</v>
      </c>
      <c r="T869" s="203" t="s">
        <v>48</v>
      </c>
      <c r="U869" s="183" t="str">
        <f t="shared" si="265"/>
        <v>1 Hrs</v>
      </c>
    </row>
    <row r="870" spans="3:21" s="172" customFormat="1" ht="20.25" customHeight="1">
      <c r="C870" s="185">
        <f>D870</f>
        <v>870</v>
      </c>
      <c r="D870" s="190">
        <f t="shared" si="240"/>
        <v>870</v>
      </c>
      <c r="E870" s="191" t="s">
        <v>284</v>
      </c>
      <c r="F870" s="197">
        <f>D865</f>
        <v>865</v>
      </c>
      <c r="G870" s="193"/>
      <c r="H870" s="193"/>
      <c r="I870" s="195"/>
      <c r="J870" s="195"/>
      <c r="K870" s="221"/>
      <c r="L870" s="195"/>
      <c r="M870" s="204"/>
      <c r="N870" s="195"/>
      <c r="O870" s="205"/>
      <c r="P870" s="195"/>
      <c r="Q870" s="227"/>
      <c r="R870" s="226"/>
      <c r="S870" s="227"/>
      <c r="T870" s="203"/>
      <c r="U870" s="183"/>
    </row>
    <row r="871" spans="3:21" s="172" customFormat="1" ht="20.25" customHeight="1">
      <c r="C871" s="185"/>
      <c r="D871" s="190">
        <f t="shared" si="240"/>
        <v>871</v>
      </c>
      <c r="E871" s="194" t="s">
        <v>285</v>
      </c>
      <c r="F871" s="198"/>
      <c r="G871" s="193" t="s">
        <v>286</v>
      </c>
      <c r="H871" s="193"/>
      <c r="I871" s="220">
        <f>I869</f>
        <v>18</v>
      </c>
      <c r="J871" s="198" t="str">
        <f t="shared" ref="J871:K871" si="274">J866</f>
        <v>2500 mm</v>
      </c>
      <c r="K871" s="212">
        <f t="shared" si="274"/>
        <v>1</v>
      </c>
      <c r="L871" s="195" t="s">
        <v>81</v>
      </c>
      <c r="M871" s="214">
        <v>1</v>
      </c>
      <c r="N871" s="195" t="s">
        <v>39</v>
      </c>
      <c r="O871" s="205">
        <v>3</v>
      </c>
      <c r="P871" s="195" t="s">
        <v>112</v>
      </c>
      <c r="Q871" s="227">
        <f t="shared" ref="Q871:Q874" si="275">M871*O871</f>
        <v>3</v>
      </c>
      <c r="R871" s="226">
        <v>1</v>
      </c>
      <c r="S871" s="227">
        <f t="shared" si="264"/>
        <v>4</v>
      </c>
      <c r="T871" s="203" t="s">
        <v>48</v>
      </c>
      <c r="U871" s="183" t="str">
        <f t="shared" si="265"/>
        <v>4 Hrs</v>
      </c>
    </row>
    <row r="872" spans="3:21" s="172" customFormat="1" ht="20.25" customHeight="1">
      <c r="C872" s="185"/>
      <c r="D872" s="190">
        <f t="shared" si="240"/>
        <v>872</v>
      </c>
      <c r="E872" s="194" t="s">
        <v>285</v>
      </c>
      <c r="F872" s="198">
        <f t="shared" ref="F872:F874" si="276">D871</f>
        <v>871</v>
      </c>
      <c r="G872" s="193" t="s">
        <v>286</v>
      </c>
      <c r="H872" s="193"/>
      <c r="I872" s="220">
        <f>I869</f>
        <v>18</v>
      </c>
      <c r="J872" s="198" t="str">
        <f t="shared" ref="J872:K872" si="277">J867</f>
        <v>2500 mm</v>
      </c>
      <c r="K872" s="212">
        <f t="shared" si="277"/>
        <v>1</v>
      </c>
      <c r="L872" s="195" t="s">
        <v>81</v>
      </c>
      <c r="M872" s="214">
        <v>1</v>
      </c>
      <c r="N872" s="195" t="str">
        <f>N871</f>
        <v>No</v>
      </c>
      <c r="O872" s="233">
        <v>3</v>
      </c>
      <c r="P872" s="195" t="s">
        <v>112</v>
      </c>
      <c r="Q872" s="227">
        <f t="shared" si="275"/>
        <v>3</v>
      </c>
      <c r="R872" s="226">
        <v>1</v>
      </c>
      <c r="S872" s="227">
        <f t="shared" si="264"/>
        <v>4</v>
      </c>
      <c r="T872" s="203" t="s">
        <v>48</v>
      </c>
      <c r="U872" s="183" t="str">
        <f t="shared" si="265"/>
        <v>4 Hrs</v>
      </c>
    </row>
    <row r="873" spans="3:21" s="172" customFormat="1" ht="20.25" customHeight="1">
      <c r="C873" s="185"/>
      <c r="D873" s="190">
        <f t="shared" si="240"/>
        <v>873</v>
      </c>
      <c r="E873" s="194" t="s">
        <v>285</v>
      </c>
      <c r="F873" s="198">
        <f t="shared" si="276"/>
        <v>872</v>
      </c>
      <c r="G873" s="193" t="s">
        <v>286</v>
      </c>
      <c r="H873" s="193"/>
      <c r="I873" s="220">
        <f>I869</f>
        <v>18</v>
      </c>
      <c r="J873" s="198" t="str">
        <f t="shared" ref="J873:K873" si="278">J868</f>
        <v>1250 mm</v>
      </c>
      <c r="K873" s="212">
        <f t="shared" si="278"/>
        <v>1</v>
      </c>
      <c r="L873" s="195" t="s">
        <v>81</v>
      </c>
      <c r="M873" s="214">
        <v>1</v>
      </c>
      <c r="N873" s="195" t="str">
        <f>N872</f>
        <v>No</v>
      </c>
      <c r="O873" s="233">
        <v>3</v>
      </c>
      <c r="P873" s="195" t="s">
        <v>112</v>
      </c>
      <c r="Q873" s="227">
        <f t="shared" si="275"/>
        <v>3</v>
      </c>
      <c r="R873" s="226">
        <v>1</v>
      </c>
      <c r="S873" s="227">
        <f t="shared" si="264"/>
        <v>4</v>
      </c>
      <c r="T873" s="203" t="s">
        <v>48</v>
      </c>
      <c r="U873" s="183" t="str">
        <f t="shared" si="265"/>
        <v>4 Hrs</v>
      </c>
    </row>
    <row r="874" spans="3:21" s="172" customFormat="1" ht="20.25" customHeight="1">
      <c r="C874" s="185"/>
      <c r="D874" s="190">
        <f t="shared" si="240"/>
        <v>874</v>
      </c>
      <c r="E874" s="194" t="s">
        <v>285</v>
      </c>
      <c r="F874" s="198">
        <f t="shared" si="276"/>
        <v>873</v>
      </c>
      <c r="G874" s="193" t="s">
        <v>286</v>
      </c>
      <c r="H874" s="193"/>
      <c r="I874" s="220">
        <f>I869</f>
        <v>18</v>
      </c>
      <c r="J874" s="198" t="str">
        <f t="shared" ref="J874" si="279">J869</f>
        <v>0 mm</v>
      </c>
      <c r="K874" s="212">
        <v>0</v>
      </c>
      <c r="L874" s="195" t="s">
        <v>81</v>
      </c>
      <c r="M874" s="214">
        <v>0</v>
      </c>
      <c r="N874" s="195" t="str">
        <f>N873</f>
        <v>No</v>
      </c>
      <c r="O874" s="233">
        <v>0</v>
      </c>
      <c r="P874" s="195" t="s">
        <v>112</v>
      </c>
      <c r="Q874" s="227">
        <f t="shared" si="275"/>
        <v>0</v>
      </c>
      <c r="R874" s="226"/>
      <c r="S874" s="227"/>
      <c r="T874" s="203" t="s">
        <v>48</v>
      </c>
      <c r="U874" s="183"/>
    </row>
    <row r="875" spans="3:21" s="172" customFormat="1" ht="20.25" customHeight="1">
      <c r="C875" s="185">
        <f>D875</f>
        <v>875</v>
      </c>
      <c r="D875" s="190">
        <f t="shared" si="240"/>
        <v>875</v>
      </c>
      <c r="E875" s="191" t="s">
        <v>287</v>
      </c>
      <c r="F875" s="197">
        <f>D870</f>
        <v>870</v>
      </c>
      <c r="G875" s="193"/>
      <c r="H875" s="193"/>
      <c r="I875" s="195"/>
      <c r="J875" s="195"/>
      <c r="K875" s="221"/>
      <c r="L875" s="195"/>
      <c r="M875" s="204"/>
      <c r="N875" s="195"/>
      <c r="O875" s="205"/>
      <c r="P875" s="195"/>
      <c r="Q875" s="227"/>
      <c r="R875" s="226"/>
      <c r="S875" s="227"/>
      <c r="T875" s="203"/>
      <c r="U875" s="183"/>
    </row>
    <row r="876" spans="3:21" s="172" customFormat="1" ht="20.25" customHeight="1">
      <c r="C876" s="185"/>
      <c r="D876" s="190">
        <f t="shared" si="240"/>
        <v>876</v>
      </c>
      <c r="E876" s="194" t="s">
        <v>288</v>
      </c>
      <c r="F876" s="198"/>
      <c r="G876" s="193" t="s">
        <v>289</v>
      </c>
      <c r="H876" s="193"/>
      <c r="I876" s="220">
        <f>I874</f>
        <v>18</v>
      </c>
      <c r="J876" s="198" t="str">
        <f>J871</f>
        <v>2500 mm</v>
      </c>
      <c r="K876" s="221">
        <v>1</v>
      </c>
      <c r="L876" s="195" t="s">
        <v>81</v>
      </c>
      <c r="M876" s="222">
        <v>1</v>
      </c>
      <c r="N876" s="195" t="s">
        <v>81</v>
      </c>
      <c r="O876" s="233">
        <f>VLOOKUP(I876,BM!$B$3:$Y$62,8,FALSE)</f>
        <v>0.3</v>
      </c>
      <c r="P876" s="195" t="s">
        <v>112</v>
      </c>
      <c r="Q876" s="227">
        <f t="shared" ref="Q876:Q879" si="280">M876*O876</f>
        <v>0.3</v>
      </c>
      <c r="R876" s="226">
        <v>1</v>
      </c>
      <c r="S876" s="227">
        <f t="shared" si="264"/>
        <v>1.3</v>
      </c>
      <c r="T876" s="203" t="s">
        <v>48</v>
      </c>
      <c r="U876" s="183" t="str">
        <f t="shared" si="265"/>
        <v>1.3 Hrs</v>
      </c>
    </row>
    <row r="877" spans="3:21" s="172" customFormat="1" ht="20.25" customHeight="1">
      <c r="C877" s="185"/>
      <c r="D877" s="190">
        <f t="shared" si="240"/>
        <v>877</v>
      </c>
      <c r="E877" s="194" t="s">
        <v>288</v>
      </c>
      <c r="F877" s="198">
        <f t="shared" ref="F877:F879" si="281">D876</f>
        <v>876</v>
      </c>
      <c r="G877" s="193" t="s">
        <v>289</v>
      </c>
      <c r="H877" s="193"/>
      <c r="I877" s="220">
        <f>I874</f>
        <v>18</v>
      </c>
      <c r="J877" s="198" t="str">
        <f>J872</f>
        <v>2500 mm</v>
      </c>
      <c r="K877" s="221">
        <v>1</v>
      </c>
      <c r="L877" s="195" t="s">
        <v>81</v>
      </c>
      <c r="M877" s="222">
        <v>1</v>
      </c>
      <c r="N877" s="195" t="s">
        <v>81</v>
      </c>
      <c r="O877" s="233">
        <f>VLOOKUP(I877,BM!$B$3:$Y$62,8,FALSE)</f>
        <v>0.3</v>
      </c>
      <c r="P877" s="195" t="s">
        <v>112</v>
      </c>
      <c r="Q877" s="227">
        <f t="shared" si="280"/>
        <v>0.3</v>
      </c>
      <c r="R877" s="226">
        <v>1</v>
      </c>
      <c r="S877" s="227">
        <f t="shared" si="264"/>
        <v>1.3</v>
      </c>
      <c r="T877" s="203" t="s">
        <v>48</v>
      </c>
      <c r="U877" s="183" t="str">
        <f t="shared" si="265"/>
        <v>1.3 Hrs</v>
      </c>
    </row>
    <row r="878" spans="3:21" s="172" customFormat="1" ht="20.25" customHeight="1">
      <c r="C878" s="185"/>
      <c r="D878" s="190">
        <f t="shared" si="240"/>
        <v>878</v>
      </c>
      <c r="E878" s="194" t="s">
        <v>288</v>
      </c>
      <c r="F878" s="198">
        <f t="shared" si="281"/>
        <v>877</v>
      </c>
      <c r="G878" s="193" t="s">
        <v>289</v>
      </c>
      <c r="H878" s="193"/>
      <c r="I878" s="220">
        <f>I874</f>
        <v>18</v>
      </c>
      <c r="J878" s="198" t="str">
        <f>J873</f>
        <v>1250 mm</v>
      </c>
      <c r="K878" s="221">
        <v>1</v>
      </c>
      <c r="L878" s="195" t="s">
        <v>81</v>
      </c>
      <c r="M878" s="222">
        <v>1</v>
      </c>
      <c r="N878" s="195" t="s">
        <v>81</v>
      </c>
      <c r="O878" s="233">
        <f>VLOOKUP(I878,BM!$B$3:$Y$62,8,FALSE)</f>
        <v>0.3</v>
      </c>
      <c r="P878" s="195" t="s">
        <v>112</v>
      </c>
      <c r="Q878" s="227">
        <f t="shared" si="280"/>
        <v>0.3</v>
      </c>
      <c r="R878" s="226">
        <v>1</v>
      </c>
      <c r="S878" s="227">
        <f t="shared" si="264"/>
        <v>1.3</v>
      </c>
      <c r="T878" s="203" t="s">
        <v>48</v>
      </c>
      <c r="U878" s="183" t="str">
        <f t="shared" si="265"/>
        <v>1.3 Hrs</v>
      </c>
    </row>
    <row r="879" spans="3:21" s="172" customFormat="1" ht="20.25" customHeight="1">
      <c r="C879" s="185"/>
      <c r="D879" s="190">
        <f t="shared" si="240"/>
        <v>879</v>
      </c>
      <c r="E879" s="194" t="s">
        <v>288</v>
      </c>
      <c r="F879" s="198">
        <f t="shared" si="281"/>
        <v>878</v>
      </c>
      <c r="G879" s="193" t="s">
        <v>289</v>
      </c>
      <c r="H879" s="193"/>
      <c r="I879" s="220">
        <f>I874</f>
        <v>18</v>
      </c>
      <c r="J879" s="198" t="str">
        <f>J874</f>
        <v>0 mm</v>
      </c>
      <c r="K879" s="221">
        <v>1</v>
      </c>
      <c r="L879" s="195" t="s">
        <v>81</v>
      </c>
      <c r="M879" s="222">
        <v>0</v>
      </c>
      <c r="N879" s="195" t="s">
        <v>81</v>
      </c>
      <c r="O879" s="233">
        <f>VLOOKUP(I879,BM!$B$3:$Y$62,8,FALSE)</f>
        <v>0.3</v>
      </c>
      <c r="P879" s="195" t="s">
        <v>112</v>
      </c>
      <c r="Q879" s="227">
        <f t="shared" si="280"/>
        <v>0</v>
      </c>
      <c r="R879" s="226">
        <v>1</v>
      </c>
      <c r="S879" s="227">
        <f t="shared" si="264"/>
        <v>1</v>
      </c>
      <c r="T879" s="203" t="s">
        <v>48</v>
      </c>
      <c r="U879" s="183" t="str">
        <f t="shared" si="265"/>
        <v>1 Hrs</v>
      </c>
    </row>
    <row r="880" spans="3:21" s="172" customFormat="1" ht="20.25" customHeight="1">
      <c r="C880" s="185">
        <f>D880</f>
        <v>880</v>
      </c>
      <c r="D880" s="190">
        <f t="shared" si="240"/>
        <v>880</v>
      </c>
      <c r="E880" s="191" t="s">
        <v>290</v>
      </c>
      <c r="F880" s="197">
        <f>D875</f>
        <v>875</v>
      </c>
      <c r="G880" s="193"/>
      <c r="H880" s="193"/>
      <c r="I880" s="195"/>
      <c r="J880" s="195"/>
      <c r="K880" s="221"/>
      <c r="L880" s="195"/>
      <c r="M880" s="204"/>
      <c r="N880" s="195"/>
      <c r="O880" s="205"/>
      <c r="P880" s="195"/>
      <c r="Q880" s="227"/>
      <c r="R880" s="226"/>
      <c r="S880" s="227"/>
      <c r="T880" s="203"/>
      <c r="U880" s="183"/>
    </row>
    <row r="881" spans="3:21" s="172" customFormat="1" ht="20.25" customHeight="1">
      <c r="C881" s="185"/>
      <c r="D881" s="190">
        <f t="shared" si="240"/>
        <v>881</v>
      </c>
      <c r="E881" s="194" t="s">
        <v>291</v>
      </c>
      <c r="F881" s="198"/>
      <c r="G881" s="193" t="s">
        <v>44</v>
      </c>
      <c r="H881" s="193"/>
      <c r="I881" s="220">
        <f>I879</f>
        <v>18</v>
      </c>
      <c r="J881" s="198" t="str">
        <f>J876</f>
        <v>2500 mm</v>
      </c>
      <c r="K881" s="221">
        <v>1</v>
      </c>
      <c r="L881" s="195" t="s">
        <v>81</v>
      </c>
      <c r="M881" s="214">
        <f t="shared" ref="M881:M884" si="282">LEFT(J881,SEARCH(" ",J881,1)-1)*K881*0.001</f>
        <v>2.5</v>
      </c>
      <c r="N881" s="195" t="s">
        <v>139</v>
      </c>
      <c r="O881" s="233">
        <f>VLOOKUP(I881,BM!$B$3:$Y$62,9,FALSE)</f>
        <v>1</v>
      </c>
      <c r="P881" s="195" t="s">
        <v>112</v>
      </c>
      <c r="Q881" s="227">
        <f t="shared" ref="Q881:Q884" si="283">M881*O881</f>
        <v>2.5</v>
      </c>
      <c r="R881" s="226">
        <v>1</v>
      </c>
      <c r="S881" s="227">
        <f t="shared" si="264"/>
        <v>3.5</v>
      </c>
      <c r="T881" s="203" t="s">
        <v>48</v>
      </c>
      <c r="U881" s="183" t="str">
        <f t="shared" si="265"/>
        <v>3.5 Hrs</v>
      </c>
    </row>
    <row r="882" spans="3:21" s="172" customFormat="1" ht="20.25" customHeight="1">
      <c r="C882" s="185"/>
      <c r="D882" s="190">
        <f t="shared" si="240"/>
        <v>882</v>
      </c>
      <c r="E882" s="194" t="s">
        <v>291</v>
      </c>
      <c r="F882" s="198">
        <f t="shared" ref="F882:F884" si="284">D881</f>
        <v>881</v>
      </c>
      <c r="G882" s="193" t="s">
        <v>44</v>
      </c>
      <c r="H882" s="193"/>
      <c r="I882" s="220">
        <f>I879</f>
        <v>18</v>
      </c>
      <c r="J882" s="198" t="str">
        <f>J877</f>
        <v>2500 mm</v>
      </c>
      <c r="K882" s="221">
        <v>1</v>
      </c>
      <c r="L882" s="195" t="s">
        <v>81</v>
      </c>
      <c r="M882" s="214">
        <f t="shared" si="282"/>
        <v>2.5</v>
      </c>
      <c r="N882" s="195" t="s">
        <v>139</v>
      </c>
      <c r="O882" s="233">
        <f>VLOOKUP(I882,BM!$B$3:$Y$62,9,FALSE)</f>
        <v>1</v>
      </c>
      <c r="P882" s="195" t="s">
        <v>112</v>
      </c>
      <c r="Q882" s="227">
        <f t="shared" si="283"/>
        <v>2.5</v>
      </c>
      <c r="R882" s="226">
        <v>1</v>
      </c>
      <c r="S882" s="227">
        <f t="shared" si="264"/>
        <v>3.5</v>
      </c>
      <c r="T882" s="203" t="s">
        <v>48</v>
      </c>
      <c r="U882" s="183" t="str">
        <f t="shared" si="265"/>
        <v>3.5 Hrs</v>
      </c>
    </row>
    <row r="883" spans="3:21" s="172" customFormat="1" ht="20.25" customHeight="1">
      <c r="C883" s="185"/>
      <c r="D883" s="190">
        <f t="shared" si="240"/>
        <v>883</v>
      </c>
      <c r="E883" s="194" t="s">
        <v>291</v>
      </c>
      <c r="F883" s="198">
        <f t="shared" si="284"/>
        <v>882</v>
      </c>
      <c r="G883" s="193" t="s">
        <v>44</v>
      </c>
      <c r="H883" s="193"/>
      <c r="I883" s="220">
        <f>I879</f>
        <v>18</v>
      </c>
      <c r="J883" s="198" t="str">
        <f>J878</f>
        <v>1250 mm</v>
      </c>
      <c r="K883" s="221">
        <v>1</v>
      </c>
      <c r="L883" s="195" t="s">
        <v>81</v>
      </c>
      <c r="M883" s="214">
        <f t="shared" si="282"/>
        <v>1.25</v>
      </c>
      <c r="N883" s="195" t="s">
        <v>139</v>
      </c>
      <c r="O883" s="233">
        <f>VLOOKUP(I883,BM!$B$3:$Y$62,9,FALSE)</f>
        <v>1</v>
      </c>
      <c r="P883" s="195" t="s">
        <v>112</v>
      </c>
      <c r="Q883" s="227">
        <f t="shared" si="283"/>
        <v>1.25</v>
      </c>
      <c r="R883" s="226">
        <v>1</v>
      </c>
      <c r="S883" s="227">
        <f t="shared" si="264"/>
        <v>2.25</v>
      </c>
      <c r="T883" s="203" t="s">
        <v>48</v>
      </c>
      <c r="U883" s="183" t="str">
        <f t="shared" si="265"/>
        <v>2.25 Hrs</v>
      </c>
    </row>
    <row r="884" spans="3:21" s="172" customFormat="1" ht="20.25" customHeight="1">
      <c r="C884" s="185"/>
      <c r="D884" s="190">
        <f t="shared" si="240"/>
        <v>884</v>
      </c>
      <c r="E884" s="194" t="s">
        <v>291</v>
      </c>
      <c r="F884" s="198">
        <f t="shared" si="284"/>
        <v>883</v>
      </c>
      <c r="G884" s="193" t="s">
        <v>44</v>
      </c>
      <c r="H884" s="193"/>
      <c r="I884" s="220">
        <f>I879</f>
        <v>18</v>
      </c>
      <c r="J884" s="198" t="str">
        <f>J879</f>
        <v>0 mm</v>
      </c>
      <c r="K884" s="221">
        <v>1</v>
      </c>
      <c r="L884" s="195" t="s">
        <v>81</v>
      </c>
      <c r="M884" s="214">
        <f t="shared" si="282"/>
        <v>0</v>
      </c>
      <c r="N884" s="195" t="s">
        <v>139</v>
      </c>
      <c r="O884" s="233">
        <f>VLOOKUP(I884,BM!$B$3:$Y$62,9,FALSE)</f>
        <v>1</v>
      </c>
      <c r="P884" s="195" t="s">
        <v>112</v>
      </c>
      <c r="Q884" s="227">
        <f t="shared" si="283"/>
        <v>0</v>
      </c>
      <c r="R884" s="226">
        <v>1</v>
      </c>
      <c r="S884" s="227">
        <f t="shared" si="264"/>
        <v>1</v>
      </c>
      <c r="T884" s="203" t="s">
        <v>48</v>
      </c>
      <c r="U884" s="183" t="str">
        <f t="shared" si="265"/>
        <v>1 Hrs</v>
      </c>
    </row>
    <row r="885" spans="3:21" s="172" customFormat="1" ht="20.25" customHeight="1">
      <c r="C885" s="185">
        <f>D885</f>
        <v>885</v>
      </c>
      <c r="D885" s="190">
        <f t="shared" si="240"/>
        <v>885</v>
      </c>
      <c r="E885" s="191" t="s">
        <v>292</v>
      </c>
      <c r="F885" s="197">
        <f>D880</f>
        <v>880</v>
      </c>
      <c r="G885" s="193"/>
      <c r="H885" s="193"/>
      <c r="I885" s="195"/>
      <c r="J885" s="195"/>
      <c r="K885" s="221"/>
      <c r="L885" s="195"/>
      <c r="M885" s="204"/>
      <c r="N885" s="195"/>
      <c r="O885" s="205"/>
      <c r="P885" s="195"/>
      <c r="Q885" s="227"/>
      <c r="R885" s="226"/>
      <c r="S885" s="227"/>
      <c r="T885" s="203"/>
      <c r="U885" s="183"/>
    </row>
    <row r="886" spans="3:21" s="172" customFormat="1" ht="20.25" customHeight="1">
      <c r="C886" s="185"/>
      <c r="D886" s="190">
        <f t="shared" si="240"/>
        <v>886</v>
      </c>
      <c r="E886" s="194" t="s">
        <v>293</v>
      </c>
      <c r="F886" s="198"/>
      <c r="G886" s="193" t="s">
        <v>286</v>
      </c>
      <c r="H886" s="193"/>
      <c r="I886" s="220">
        <f>I884</f>
        <v>18</v>
      </c>
      <c r="J886" s="198" t="str">
        <f>J881</f>
        <v>2500 mm</v>
      </c>
      <c r="K886" s="221">
        <v>1</v>
      </c>
      <c r="L886" s="195" t="s">
        <v>81</v>
      </c>
      <c r="M886" s="222">
        <f>K886</f>
        <v>1</v>
      </c>
      <c r="N886" s="195" t="s">
        <v>39</v>
      </c>
      <c r="O886" s="205">
        <v>3</v>
      </c>
      <c r="P886" s="195" t="s">
        <v>112</v>
      </c>
      <c r="Q886" s="227">
        <f t="shared" ref="Q886:Q899" si="285">M886*O886</f>
        <v>3</v>
      </c>
      <c r="R886" s="226">
        <v>1</v>
      </c>
      <c r="S886" s="227">
        <f t="shared" si="264"/>
        <v>4</v>
      </c>
      <c r="T886" s="203" t="s">
        <v>48</v>
      </c>
      <c r="U886" s="183" t="str">
        <f t="shared" si="265"/>
        <v>4 Hrs</v>
      </c>
    </row>
    <row r="887" spans="3:21" s="172" customFormat="1" ht="20.25" customHeight="1">
      <c r="C887" s="185"/>
      <c r="D887" s="190">
        <f t="shared" si="240"/>
        <v>887</v>
      </c>
      <c r="E887" s="194" t="s">
        <v>294</v>
      </c>
      <c r="F887" s="198">
        <f t="shared" ref="F887:F889" si="286">D886</f>
        <v>886</v>
      </c>
      <c r="G887" s="193" t="s">
        <v>286</v>
      </c>
      <c r="H887" s="193"/>
      <c r="I887" s="220">
        <f>I884</f>
        <v>18</v>
      </c>
      <c r="J887" s="198" t="str">
        <f>J882</f>
        <v>2500 mm</v>
      </c>
      <c r="K887" s="221">
        <v>1</v>
      </c>
      <c r="L887" s="195" t="s">
        <v>81</v>
      </c>
      <c r="M887" s="222">
        <f>K887</f>
        <v>1</v>
      </c>
      <c r="N887" s="195" t="s">
        <v>39</v>
      </c>
      <c r="O887" s="233">
        <f>O886</f>
        <v>3</v>
      </c>
      <c r="P887" s="195" t="s">
        <v>112</v>
      </c>
      <c r="Q887" s="227">
        <f t="shared" si="285"/>
        <v>3</v>
      </c>
      <c r="R887" s="226">
        <v>1</v>
      </c>
      <c r="S887" s="227">
        <f t="shared" si="264"/>
        <v>4</v>
      </c>
      <c r="T887" s="203" t="s">
        <v>48</v>
      </c>
      <c r="U887" s="183" t="str">
        <f t="shared" si="265"/>
        <v>4 Hrs</v>
      </c>
    </row>
    <row r="888" spans="3:21" s="172" customFormat="1" ht="20.25" customHeight="1">
      <c r="C888" s="185"/>
      <c r="D888" s="190">
        <f t="shared" si="240"/>
        <v>888</v>
      </c>
      <c r="E888" s="194" t="s">
        <v>294</v>
      </c>
      <c r="F888" s="198">
        <f t="shared" si="286"/>
        <v>887</v>
      </c>
      <c r="G888" s="193" t="s">
        <v>286</v>
      </c>
      <c r="H888" s="193"/>
      <c r="I888" s="220">
        <f>I884</f>
        <v>18</v>
      </c>
      <c r="J888" s="198" t="str">
        <f>J883</f>
        <v>1250 mm</v>
      </c>
      <c r="K888" s="221">
        <v>1</v>
      </c>
      <c r="L888" s="195" t="s">
        <v>81</v>
      </c>
      <c r="M888" s="222">
        <f>K888</f>
        <v>1</v>
      </c>
      <c r="N888" s="195" t="s">
        <v>39</v>
      </c>
      <c r="O888" s="233">
        <f>O887</f>
        <v>3</v>
      </c>
      <c r="P888" s="195" t="s">
        <v>112</v>
      </c>
      <c r="Q888" s="227">
        <f t="shared" si="285"/>
        <v>3</v>
      </c>
      <c r="R888" s="226">
        <v>1</v>
      </c>
      <c r="S888" s="227">
        <f t="shared" si="264"/>
        <v>4</v>
      </c>
      <c r="T888" s="203" t="s">
        <v>48</v>
      </c>
      <c r="U888" s="183" t="str">
        <f t="shared" si="265"/>
        <v>4 Hrs</v>
      </c>
    </row>
    <row r="889" spans="3:21" s="172" customFormat="1" ht="20.25" customHeight="1">
      <c r="C889" s="185"/>
      <c r="D889" s="190">
        <f t="shared" si="240"/>
        <v>889</v>
      </c>
      <c r="E889" s="194" t="s">
        <v>294</v>
      </c>
      <c r="F889" s="198">
        <f t="shared" si="286"/>
        <v>888</v>
      </c>
      <c r="G889" s="193" t="s">
        <v>286</v>
      </c>
      <c r="H889" s="193"/>
      <c r="I889" s="220">
        <f>I884</f>
        <v>18</v>
      </c>
      <c r="J889" s="198" t="str">
        <f>J884</f>
        <v>0 mm</v>
      </c>
      <c r="K889" s="221">
        <v>1</v>
      </c>
      <c r="L889" s="195" t="s">
        <v>81</v>
      </c>
      <c r="M889" s="222">
        <f>K889</f>
        <v>1</v>
      </c>
      <c r="N889" s="195" t="s">
        <v>39</v>
      </c>
      <c r="O889" s="233">
        <f>O888</f>
        <v>3</v>
      </c>
      <c r="P889" s="195" t="s">
        <v>112</v>
      </c>
      <c r="Q889" s="227">
        <f t="shared" si="285"/>
        <v>3</v>
      </c>
      <c r="R889" s="226">
        <v>1</v>
      </c>
      <c r="S889" s="227">
        <f t="shared" si="264"/>
        <v>4</v>
      </c>
      <c r="T889" s="203" t="s">
        <v>48</v>
      </c>
      <c r="U889" s="183" t="str">
        <f t="shared" si="265"/>
        <v>4 Hrs</v>
      </c>
    </row>
    <row r="890" spans="3:21" s="172" customFormat="1" ht="20.25" customHeight="1">
      <c r="C890" s="185">
        <f>D890</f>
        <v>890</v>
      </c>
      <c r="D890" s="190">
        <f t="shared" si="240"/>
        <v>890</v>
      </c>
      <c r="E890" s="191" t="s">
        <v>295</v>
      </c>
      <c r="F890" s="197">
        <f>D885</f>
        <v>885</v>
      </c>
      <c r="G890" s="193"/>
      <c r="H890" s="193"/>
      <c r="I890" s="195"/>
      <c r="J890" s="195"/>
      <c r="K890" s="221"/>
      <c r="L890" s="195"/>
      <c r="M890" s="204"/>
      <c r="N890" s="195"/>
      <c r="O890" s="205"/>
      <c r="P890" s="195"/>
      <c r="Q890" s="227">
        <f t="shared" si="285"/>
        <v>0</v>
      </c>
      <c r="R890" s="226"/>
      <c r="S890" s="227"/>
      <c r="T890" s="203"/>
      <c r="U890" s="183"/>
    </row>
    <row r="891" spans="3:21" s="172" customFormat="1" ht="20.25" customHeight="1">
      <c r="C891" s="185"/>
      <c r="D891" s="190">
        <f t="shared" si="240"/>
        <v>891</v>
      </c>
      <c r="E891" s="194" t="s">
        <v>296</v>
      </c>
      <c r="F891" s="198"/>
      <c r="G891" s="193" t="s">
        <v>201</v>
      </c>
      <c r="H891" s="193"/>
      <c r="I891" s="220">
        <f>I889</f>
        <v>18</v>
      </c>
      <c r="J891" s="198" t="str">
        <f>J886</f>
        <v>2500 mm</v>
      </c>
      <c r="K891" s="221">
        <v>1</v>
      </c>
      <c r="L891" s="195" t="s">
        <v>81</v>
      </c>
      <c r="M891" s="214">
        <f t="shared" ref="M891:M894" si="287">LEFT(J891,SEARCH(" ",J891,1)-1)*K891*0.001</f>
        <v>2.5</v>
      </c>
      <c r="N891" s="195" t="s">
        <v>139</v>
      </c>
      <c r="O891" s="233">
        <f>VLOOKUP(I891,BM!$B$3:$Y$62,9,FALSE)</f>
        <v>1</v>
      </c>
      <c r="P891" s="195" t="s">
        <v>112</v>
      </c>
      <c r="Q891" s="227">
        <f t="shared" si="285"/>
        <v>2.5</v>
      </c>
      <c r="R891" s="226">
        <v>1</v>
      </c>
      <c r="S891" s="227">
        <f t="shared" si="264"/>
        <v>3.5</v>
      </c>
      <c r="T891" s="203" t="s">
        <v>48</v>
      </c>
      <c r="U891" s="183" t="str">
        <f t="shared" si="265"/>
        <v>3.5 Hrs</v>
      </c>
    </row>
    <row r="892" spans="3:21" s="172" customFormat="1" ht="20.25" customHeight="1">
      <c r="C892" s="185"/>
      <c r="D892" s="190">
        <f t="shared" si="240"/>
        <v>892</v>
      </c>
      <c r="E892" s="194" t="s">
        <v>296</v>
      </c>
      <c r="F892" s="198">
        <f t="shared" ref="F892:F894" si="288">D891</f>
        <v>891</v>
      </c>
      <c r="G892" s="193" t="s">
        <v>201</v>
      </c>
      <c r="H892" s="193"/>
      <c r="I892" s="220">
        <f>I889</f>
        <v>18</v>
      </c>
      <c r="J892" s="198" t="str">
        <f>J887</f>
        <v>2500 mm</v>
      </c>
      <c r="K892" s="221">
        <v>1</v>
      </c>
      <c r="L892" s="195" t="s">
        <v>81</v>
      </c>
      <c r="M892" s="214">
        <f t="shared" si="287"/>
        <v>2.5</v>
      </c>
      <c r="N892" s="195" t="s">
        <v>139</v>
      </c>
      <c r="O892" s="233">
        <f>VLOOKUP(I892,BM!$B$3:$Y$62,9,FALSE)</f>
        <v>1</v>
      </c>
      <c r="P892" s="195" t="s">
        <v>112</v>
      </c>
      <c r="Q892" s="227">
        <f t="shared" si="285"/>
        <v>2.5</v>
      </c>
      <c r="R892" s="226">
        <v>1</v>
      </c>
      <c r="S892" s="227">
        <f t="shared" si="264"/>
        <v>3.5</v>
      </c>
      <c r="T892" s="203" t="s">
        <v>48</v>
      </c>
      <c r="U892" s="183" t="str">
        <f t="shared" si="265"/>
        <v>3.5 Hrs</v>
      </c>
    </row>
    <row r="893" spans="3:21" s="172" customFormat="1" ht="20.25" customHeight="1">
      <c r="C893" s="185"/>
      <c r="D893" s="190">
        <f t="shared" si="240"/>
        <v>893</v>
      </c>
      <c r="E893" s="194" t="s">
        <v>296</v>
      </c>
      <c r="F893" s="198">
        <f t="shared" si="288"/>
        <v>892</v>
      </c>
      <c r="G893" s="193" t="s">
        <v>201</v>
      </c>
      <c r="H893" s="193"/>
      <c r="I893" s="220">
        <f>I889</f>
        <v>18</v>
      </c>
      <c r="J893" s="198" t="str">
        <f>J888</f>
        <v>1250 mm</v>
      </c>
      <c r="K893" s="221">
        <v>1</v>
      </c>
      <c r="L893" s="195" t="s">
        <v>81</v>
      </c>
      <c r="M893" s="214">
        <f t="shared" si="287"/>
        <v>1.25</v>
      </c>
      <c r="N893" s="195" t="s">
        <v>139</v>
      </c>
      <c r="O893" s="233">
        <f>VLOOKUP(I893,BM!$B$3:$Y$62,9,FALSE)</f>
        <v>1</v>
      </c>
      <c r="P893" s="195" t="s">
        <v>112</v>
      </c>
      <c r="Q893" s="227">
        <f t="shared" si="285"/>
        <v>1.25</v>
      </c>
      <c r="R893" s="226">
        <v>1</v>
      </c>
      <c r="S893" s="227">
        <f t="shared" si="264"/>
        <v>2.25</v>
      </c>
      <c r="T893" s="203" t="s">
        <v>48</v>
      </c>
      <c r="U893" s="183" t="str">
        <f t="shared" si="265"/>
        <v>2.25 Hrs</v>
      </c>
    </row>
    <row r="894" spans="3:21" s="172" customFormat="1" ht="20.25" customHeight="1">
      <c r="C894" s="185"/>
      <c r="D894" s="190">
        <f t="shared" si="240"/>
        <v>894</v>
      </c>
      <c r="E894" s="194" t="s">
        <v>296</v>
      </c>
      <c r="F894" s="198">
        <f t="shared" si="288"/>
        <v>893</v>
      </c>
      <c r="G894" s="193" t="s">
        <v>201</v>
      </c>
      <c r="H894" s="193"/>
      <c r="I894" s="220">
        <f>I889</f>
        <v>18</v>
      </c>
      <c r="J894" s="198" t="str">
        <f>J889</f>
        <v>0 mm</v>
      </c>
      <c r="K894" s="221">
        <v>1</v>
      </c>
      <c r="L894" s="195" t="s">
        <v>81</v>
      </c>
      <c r="M894" s="214">
        <f t="shared" si="287"/>
        <v>0</v>
      </c>
      <c r="N894" s="195" t="s">
        <v>139</v>
      </c>
      <c r="O894" s="233">
        <f>VLOOKUP(I894,BM!$B$3:$Y$62,9,FALSE)</f>
        <v>1</v>
      </c>
      <c r="P894" s="195" t="s">
        <v>112</v>
      </c>
      <c r="Q894" s="227">
        <f t="shared" si="285"/>
        <v>0</v>
      </c>
      <c r="R894" s="226">
        <v>1</v>
      </c>
      <c r="S894" s="227">
        <f t="shared" si="264"/>
        <v>1</v>
      </c>
      <c r="T894" s="203" t="s">
        <v>48</v>
      </c>
      <c r="U894" s="183" t="str">
        <f t="shared" si="265"/>
        <v>1 Hrs</v>
      </c>
    </row>
    <row r="895" spans="3:21" s="172" customFormat="1" ht="20.25" customHeight="1">
      <c r="C895" s="185">
        <f>D895</f>
        <v>895</v>
      </c>
      <c r="D895" s="190">
        <f t="shared" si="240"/>
        <v>895</v>
      </c>
      <c r="E895" s="191" t="s">
        <v>297</v>
      </c>
      <c r="F895" s="197">
        <f>D890</f>
        <v>890</v>
      </c>
      <c r="G895" s="193"/>
      <c r="H895" s="193"/>
      <c r="I895" s="195"/>
      <c r="J895" s="195"/>
      <c r="K895" s="221"/>
      <c r="L895" s="195"/>
      <c r="M895" s="204"/>
      <c r="N895" s="195"/>
      <c r="O895" s="205"/>
      <c r="P895" s="195"/>
      <c r="Q895" s="227">
        <f t="shared" si="285"/>
        <v>0</v>
      </c>
      <c r="R895" s="226"/>
      <c r="S895" s="227"/>
      <c r="T895" s="203"/>
      <c r="U895" s="183"/>
    </row>
    <row r="896" spans="3:21" s="172" customFormat="1" ht="20.25" customHeight="1">
      <c r="C896" s="185"/>
      <c r="D896" s="190">
        <f t="shared" si="240"/>
        <v>896</v>
      </c>
      <c r="E896" s="194" t="s">
        <v>298</v>
      </c>
      <c r="F896" s="198"/>
      <c r="G896" s="193"/>
      <c r="H896" s="193"/>
      <c r="I896" s="220">
        <f>I894</f>
        <v>18</v>
      </c>
      <c r="J896" s="198" t="str">
        <f>J891</f>
        <v>2500 mm</v>
      </c>
      <c r="K896" s="221">
        <v>1</v>
      </c>
      <c r="L896" s="195" t="s">
        <v>81</v>
      </c>
      <c r="M896" s="214">
        <f t="shared" ref="M896:M899" si="289">LEFT(J896,SEARCH(" ",J896,1)-1)*K896*0.001</f>
        <v>2.5</v>
      </c>
      <c r="N896" s="195" t="s">
        <v>139</v>
      </c>
      <c r="O896" s="233">
        <f>VLOOKUP(I896,BM!$B$3:$Y$62,10,FALSE)</f>
        <v>1</v>
      </c>
      <c r="P896" s="195" t="s">
        <v>112</v>
      </c>
      <c r="Q896" s="227">
        <f t="shared" si="285"/>
        <v>2.5</v>
      </c>
      <c r="R896" s="226">
        <v>1</v>
      </c>
      <c r="S896" s="227">
        <f t="shared" si="264"/>
        <v>3.5</v>
      </c>
      <c r="T896" s="203" t="s">
        <v>48</v>
      </c>
      <c r="U896" s="183" t="str">
        <f t="shared" si="265"/>
        <v>3.5 Hrs</v>
      </c>
    </row>
    <row r="897" spans="3:21" s="172" customFormat="1" ht="20.25" customHeight="1">
      <c r="C897" s="185"/>
      <c r="D897" s="190">
        <f t="shared" si="240"/>
        <v>897</v>
      </c>
      <c r="E897" s="194" t="s">
        <v>298</v>
      </c>
      <c r="F897" s="198">
        <f t="shared" ref="F897:F899" si="290">D896</f>
        <v>896</v>
      </c>
      <c r="G897" s="193" t="s">
        <v>299</v>
      </c>
      <c r="H897" s="193"/>
      <c r="I897" s="220">
        <f>I894</f>
        <v>18</v>
      </c>
      <c r="J897" s="198" t="str">
        <f>J892</f>
        <v>2500 mm</v>
      </c>
      <c r="K897" s="221">
        <v>1</v>
      </c>
      <c r="L897" s="195" t="s">
        <v>81</v>
      </c>
      <c r="M897" s="214">
        <f t="shared" si="289"/>
        <v>2.5</v>
      </c>
      <c r="N897" s="195" t="s">
        <v>139</v>
      </c>
      <c r="O897" s="233">
        <f>VLOOKUP(I897,BM!$B$3:$Y$62,10,FALSE)</f>
        <v>1</v>
      </c>
      <c r="P897" s="195" t="s">
        <v>112</v>
      </c>
      <c r="Q897" s="227">
        <f t="shared" si="285"/>
        <v>2.5</v>
      </c>
      <c r="R897" s="226">
        <v>1</v>
      </c>
      <c r="S897" s="227">
        <f t="shared" si="264"/>
        <v>3.5</v>
      </c>
      <c r="T897" s="203" t="s">
        <v>48</v>
      </c>
      <c r="U897" s="183" t="str">
        <f t="shared" si="265"/>
        <v>3.5 Hrs</v>
      </c>
    </row>
    <row r="898" spans="3:21" s="172" customFormat="1" ht="20.25" customHeight="1">
      <c r="C898" s="185"/>
      <c r="D898" s="190">
        <f t="shared" si="240"/>
        <v>898</v>
      </c>
      <c r="E898" s="194" t="s">
        <v>298</v>
      </c>
      <c r="F898" s="198">
        <f t="shared" si="290"/>
        <v>897</v>
      </c>
      <c r="G898" s="193" t="s">
        <v>299</v>
      </c>
      <c r="H898" s="193"/>
      <c r="I898" s="220">
        <f>I894</f>
        <v>18</v>
      </c>
      <c r="J898" s="198" t="str">
        <f>J893</f>
        <v>1250 mm</v>
      </c>
      <c r="K898" s="221">
        <v>1</v>
      </c>
      <c r="L898" s="195" t="s">
        <v>81</v>
      </c>
      <c r="M898" s="214">
        <f t="shared" si="289"/>
        <v>1.25</v>
      </c>
      <c r="N898" s="195" t="s">
        <v>139</v>
      </c>
      <c r="O898" s="233">
        <f>VLOOKUP(I898,BM!$B$3:$Y$62,10,FALSE)</f>
        <v>1</v>
      </c>
      <c r="P898" s="195" t="s">
        <v>112</v>
      </c>
      <c r="Q898" s="227">
        <f t="shared" si="285"/>
        <v>1.25</v>
      </c>
      <c r="R898" s="226">
        <v>1</v>
      </c>
      <c r="S898" s="227">
        <f t="shared" si="264"/>
        <v>2.25</v>
      </c>
      <c r="T898" s="203" t="s">
        <v>48</v>
      </c>
      <c r="U898" s="183" t="str">
        <f t="shared" si="265"/>
        <v>2.25 Hrs</v>
      </c>
    </row>
    <row r="899" spans="3:21" s="172" customFormat="1" ht="20.25" customHeight="1">
      <c r="C899" s="185"/>
      <c r="D899" s="190">
        <f t="shared" ref="D899:D962" si="291">D898+1</f>
        <v>899</v>
      </c>
      <c r="E899" s="194" t="s">
        <v>298</v>
      </c>
      <c r="F899" s="198">
        <f t="shared" si="290"/>
        <v>898</v>
      </c>
      <c r="G899" s="193" t="s">
        <v>299</v>
      </c>
      <c r="H899" s="193"/>
      <c r="I899" s="220">
        <f>I894</f>
        <v>18</v>
      </c>
      <c r="J899" s="198" t="str">
        <f>J894</f>
        <v>0 mm</v>
      </c>
      <c r="K899" s="221">
        <v>1</v>
      </c>
      <c r="L899" s="195" t="s">
        <v>81</v>
      </c>
      <c r="M899" s="214">
        <f t="shared" si="289"/>
        <v>0</v>
      </c>
      <c r="N899" s="195" t="s">
        <v>139</v>
      </c>
      <c r="O899" s="233">
        <f>VLOOKUP(I899,BM!$B$3:$Y$62,10,FALSE)</f>
        <v>1</v>
      </c>
      <c r="P899" s="195" t="s">
        <v>112</v>
      </c>
      <c r="Q899" s="227">
        <f t="shared" si="285"/>
        <v>0</v>
      </c>
      <c r="R899" s="226">
        <v>1</v>
      </c>
      <c r="S899" s="227">
        <f t="shared" si="264"/>
        <v>1</v>
      </c>
      <c r="T899" s="203" t="s">
        <v>48</v>
      </c>
      <c r="U899" s="183" t="str">
        <f t="shared" si="265"/>
        <v>1 Hrs</v>
      </c>
    </row>
    <row r="900" spans="3:21" s="172" customFormat="1" ht="20.25" customHeight="1">
      <c r="C900" s="185">
        <f>D900</f>
        <v>900</v>
      </c>
      <c r="D900" s="190">
        <f t="shared" si="291"/>
        <v>900</v>
      </c>
      <c r="E900" s="191" t="s">
        <v>300</v>
      </c>
      <c r="F900" s="197">
        <f>D895</f>
        <v>895</v>
      </c>
      <c r="G900" s="193"/>
      <c r="H900" s="193"/>
      <c r="I900" s="195"/>
      <c r="J900" s="195"/>
      <c r="K900" s="221"/>
      <c r="L900" s="195"/>
      <c r="M900" s="204"/>
      <c r="N900" s="195"/>
      <c r="O900" s="205"/>
      <c r="P900" s="195"/>
      <c r="Q900" s="227"/>
      <c r="R900" s="226"/>
      <c r="S900" s="227"/>
      <c r="T900" s="203"/>
      <c r="U900" s="183"/>
    </row>
    <row r="901" spans="3:21" s="172" customFormat="1" ht="20.25" customHeight="1">
      <c r="C901" s="185"/>
      <c r="D901" s="190">
        <f t="shared" si="291"/>
        <v>901</v>
      </c>
      <c r="E901" s="194" t="s">
        <v>301</v>
      </c>
      <c r="F901" s="198"/>
      <c r="G901" s="193" t="s">
        <v>44</v>
      </c>
      <c r="H901" s="193"/>
      <c r="I901" s="220">
        <f>I899</f>
        <v>18</v>
      </c>
      <c r="J901" s="198" t="str">
        <f>J896</f>
        <v>2500 mm</v>
      </c>
      <c r="K901" s="221">
        <v>1</v>
      </c>
      <c r="L901" s="195" t="s">
        <v>81</v>
      </c>
      <c r="M901" s="214">
        <v>1</v>
      </c>
      <c r="N901" s="195" t="s">
        <v>39</v>
      </c>
      <c r="O901" s="233">
        <f>VLOOKUP(I901,BM!$B$3:$Y$62,11,FALSE)</f>
        <v>1</v>
      </c>
      <c r="P901" s="195" t="s">
        <v>112</v>
      </c>
      <c r="Q901" s="227">
        <f t="shared" ref="Q901:Q904" si="292">M901*O901</f>
        <v>1</v>
      </c>
      <c r="R901" s="226">
        <v>1</v>
      </c>
      <c r="S901" s="227">
        <f t="shared" si="264"/>
        <v>2</v>
      </c>
      <c r="T901" s="203" t="s">
        <v>48</v>
      </c>
      <c r="U901" s="183" t="str">
        <f t="shared" si="265"/>
        <v>2 Hrs</v>
      </c>
    </row>
    <row r="902" spans="3:21" s="172" customFormat="1" ht="20.25" customHeight="1">
      <c r="C902" s="185"/>
      <c r="D902" s="190">
        <f t="shared" si="291"/>
        <v>902</v>
      </c>
      <c r="E902" s="194" t="s">
        <v>301</v>
      </c>
      <c r="F902" s="198">
        <f t="shared" ref="F902:F904" si="293">D901</f>
        <v>901</v>
      </c>
      <c r="G902" s="193" t="s">
        <v>44</v>
      </c>
      <c r="H902" s="193"/>
      <c r="I902" s="220">
        <f>I899</f>
        <v>18</v>
      </c>
      <c r="J902" s="198" t="str">
        <f>J897</f>
        <v>2500 mm</v>
      </c>
      <c r="K902" s="221">
        <v>1</v>
      </c>
      <c r="L902" s="195" t="s">
        <v>81</v>
      </c>
      <c r="M902" s="214">
        <v>1</v>
      </c>
      <c r="N902" s="195" t="s">
        <v>39</v>
      </c>
      <c r="O902" s="233">
        <f>VLOOKUP(I902,BM!$B$3:$Y$62,11,FALSE)</f>
        <v>1</v>
      </c>
      <c r="P902" s="195" t="s">
        <v>112</v>
      </c>
      <c r="Q902" s="227">
        <f t="shared" si="292"/>
        <v>1</v>
      </c>
      <c r="R902" s="226">
        <v>1</v>
      </c>
      <c r="S902" s="227">
        <f t="shared" si="264"/>
        <v>2</v>
      </c>
      <c r="T902" s="203" t="s">
        <v>48</v>
      </c>
      <c r="U902" s="183" t="str">
        <f t="shared" si="265"/>
        <v>2 Hrs</v>
      </c>
    </row>
    <row r="903" spans="3:21" s="172" customFormat="1" ht="20.25" customHeight="1">
      <c r="C903" s="185"/>
      <c r="D903" s="190">
        <f t="shared" si="291"/>
        <v>903</v>
      </c>
      <c r="E903" s="194" t="s">
        <v>301</v>
      </c>
      <c r="F903" s="198">
        <f t="shared" si="293"/>
        <v>902</v>
      </c>
      <c r="G903" s="193" t="s">
        <v>44</v>
      </c>
      <c r="H903" s="193"/>
      <c r="I903" s="220">
        <f>I899</f>
        <v>18</v>
      </c>
      <c r="J903" s="198" t="str">
        <f>J898</f>
        <v>1250 mm</v>
      </c>
      <c r="K903" s="221">
        <v>1</v>
      </c>
      <c r="L903" s="195" t="s">
        <v>81</v>
      </c>
      <c r="M903" s="214">
        <v>1</v>
      </c>
      <c r="N903" s="195" t="s">
        <v>39</v>
      </c>
      <c r="O903" s="233">
        <f>VLOOKUP(I903,BM!$B$3:$Y$62,11,FALSE)</f>
        <v>1</v>
      </c>
      <c r="P903" s="195" t="s">
        <v>112</v>
      </c>
      <c r="Q903" s="227">
        <f t="shared" si="292"/>
        <v>1</v>
      </c>
      <c r="R903" s="226">
        <v>1</v>
      </c>
      <c r="S903" s="227">
        <f t="shared" si="264"/>
        <v>2</v>
      </c>
      <c r="T903" s="203" t="s">
        <v>48</v>
      </c>
      <c r="U903" s="183" t="str">
        <f t="shared" si="265"/>
        <v>2 Hrs</v>
      </c>
    </row>
    <row r="904" spans="3:21" s="172" customFormat="1" ht="20.25" customHeight="1">
      <c r="C904" s="185"/>
      <c r="D904" s="190">
        <f t="shared" si="291"/>
        <v>904</v>
      </c>
      <c r="E904" s="194" t="s">
        <v>301</v>
      </c>
      <c r="F904" s="198">
        <f t="shared" si="293"/>
        <v>903</v>
      </c>
      <c r="G904" s="193" t="s">
        <v>44</v>
      </c>
      <c r="H904" s="193"/>
      <c r="I904" s="220">
        <f>I899</f>
        <v>18</v>
      </c>
      <c r="J904" s="198" t="str">
        <f>J899</f>
        <v>0 mm</v>
      </c>
      <c r="K904" s="221">
        <v>1</v>
      </c>
      <c r="L904" s="195" t="s">
        <v>81</v>
      </c>
      <c r="M904" s="214">
        <v>1</v>
      </c>
      <c r="N904" s="195" t="s">
        <v>39</v>
      </c>
      <c r="O904" s="233">
        <f>VLOOKUP(I904,BM!$B$3:$Y$62,11,FALSE)</f>
        <v>1</v>
      </c>
      <c r="P904" s="195" t="s">
        <v>112</v>
      </c>
      <c r="Q904" s="227">
        <f t="shared" si="292"/>
        <v>1</v>
      </c>
      <c r="R904" s="226">
        <v>1</v>
      </c>
      <c r="S904" s="227">
        <f t="shared" si="264"/>
        <v>2</v>
      </c>
      <c r="T904" s="203" t="s">
        <v>48</v>
      </c>
      <c r="U904" s="183" t="str">
        <f t="shared" si="265"/>
        <v>2 Hrs</v>
      </c>
    </row>
    <row r="905" spans="3:21" s="172" customFormat="1" ht="20.25" customHeight="1">
      <c r="C905" s="185">
        <f>D905</f>
        <v>905</v>
      </c>
      <c r="D905" s="190">
        <f t="shared" si="291"/>
        <v>905</v>
      </c>
      <c r="E905" s="191" t="s">
        <v>302</v>
      </c>
      <c r="F905" s="197">
        <f>D900</f>
        <v>900</v>
      </c>
      <c r="G905" s="193"/>
      <c r="H905" s="193"/>
      <c r="I905" s="195"/>
      <c r="J905" s="195"/>
      <c r="K905" s="221"/>
      <c r="L905" s="195"/>
      <c r="M905" s="204"/>
      <c r="N905" s="195"/>
      <c r="O905" s="205"/>
      <c r="P905" s="195"/>
      <c r="Q905" s="227"/>
      <c r="R905" s="226"/>
      <c r="S905" s="227"/>
      <c r="T905" s="203"/>
      <c r="U905" s="183"/>
    </row>
    <row r="906" spans="3:21" s="172" customFormat="1" ht="20.25" customHeight="1">
      <c r="C906" s="185"/>
      <c r="D906" s="190">
        <f t="shared" si="291"/>
        <v>906</v>
      </c>
      <c r="E906" s="194" t="s">
        <v>303</v>
      </c>
      <c r="F906" s="198"/>
      <c r="G906" s="193" t="s">
        <v>115</v>
      </c>
      <c r="H906" s="193"/>
      <c r="I906" s="211">
        <v>12</v>
      </c>
      <c r="J906" s="198" t="str">
        <f>J901</f>
        <v>2500 mm</v>
      </c>
      <c r="K906" s="221">
        <v>1</v>
      </c>
      <c r="L906" s="195" t="s">
        <v>81</v>
      </c>
      <c r="M906" s="214">
        <f t="shared" ref="M906:M909" si="294">LEFT(J906,SEARCH(" ",J906,1)-1)*K906*0.001</f>
        <v>2.5</v>
      </c>
      <c r="N906" s="195" t="s">
        <v>139</v>
      </c>
      <c r="O906" s="233">
        <f>VLOOKUP(I906,BM!$B$3:$Y$62,12,FALSE)</f>
        <v>2.5</v>
      </c>
      <c r="P906" s="195" t="s">
        <v>112</v>
      </c>
      <c r="Q906" s="227">
        <f t="shared" ref="Q906:Q909" si="295">M906*O906</f>
        <v>6.25</v>
      </c>
      <c r="R906" s="226">
        <v>1</v>
      </c>
      <c r="S906" s="227">
        <f t="shared" si="264"/>
        <v>7.25</v>
      </c>
      <c r="T906" s="203" t="s">
        <v>48</v>
      </c>
      <c r="U906" s="183" t="str">
        <f t="shared" si="265"/>
        <v>7.25 Hrs</v>
      </c>
    </row>
    <row r="907" spans="3:21" s="172" customFormat="1" ht="20.25" customHeight="1">
      <c r="C907" s="185"/>
      <c r="D907" s="190">
        <f t="shared" si="291"/>
        <v>907</v>
      </c>
      <c r="E907" s="194" t="s">
        <v>303</v>
      </c>
      <c r="F907" s="198">
        <f t="shared" ref="F907:F909" si="296">D906</f>
        <v>906</v>
      </c>
      <c r="G907" s="193" t="s">
        <v>115</v>
      </c>
      <c r="H907" s="193"/>
      <c r="I907" s="220">
        <f>I906</f>
        <v>12</v>
      </c>
      <c r="J907" s="198" t="str">
        <f>J902</f>
        <v>2500 mm</v>
      </c>
      <c r="K907" s="221">
        <v>1</v>
      </c>
      <c r="L907" s="195" t="s">
        <v>81</v>
      </c>
      <c r="M907" s="214">
        <f t="shared" si="294"/>
        <v>2.5</v>
      </c>
      <c r="N907" s="195" t="s">
        <v>139</v>
      </c>
      <c r="O907" s="233">
        <f>VLOOKUP(I907,BM!$B$3:$Y$62,12,FALSE)</f>
        <v>2.5</v>
      </c>
      <c r="P907" s="195" t="s">
        <v>112</v>
      </c>
      <c r="Q907" s="227">
        <f t="shared" si="295"/>
        <v>6.25</v>
      </c>
      <c r="R907" s="226">
        <v>1</v>
      </c>
      <c r="S907" s="227">
        <f t="shared" si="264"/>
        <v>7.25</v>
      </c>
      <c r="T907" s="203" t="s">
        <v>48</v>
      </c>
      <c r="U907" s="183" t="str">
        <f t="shared" si="265"/>
        <v>7.25 Hrs</v>
      </c>
    </row>
    <row r="908" spans="3:21" s="172" customFormat="1" ht="20.25" customHeight="1">
      <c r="C908" s="185"/>
      <c r="D908" s="190">
        <f t="shared" si="291"/>
        <v>908</v>
      </c>
      <c r="E908" s="194" t="s">
        <v>303</v>
      </c>
      <c r="F908" s="198">
        <f t="shared" si="296"/>
        <v>907</v>
      </c>
      <c r="G908" s="193" t="s">
        <v>115</v>
      </c>
      <c r="H908" s="193"/>
      <c r="I908" s="220">
        <f>I907</f>
        <v>12</v>
      </c>
      <c r="J908" s="198" t="str">
        <f>J903</f>
        <v>1250 mm</v>
      </c>
      <c r="K908" s="221">
        <v>1</v>
      </c>
      <c r="L908" s="195" t="s">
        <v>81</v>
      </c>
      <c r="M908" s="214">
        <f t="shared" si="294"/>
        <v>1.25</v>
      </c>
      <c r="N908" s="195" t="s">
        <v>139</v>
      </c>
      <c r="O908" s="233">
        <f>VLOOKUP(I908,BM!$B$3:$Y$62,12,FALSE)</f>
        <v>2.5</v>
      </c>
      <c r="P908" s="195" t="s">
        <v>112</v>
      </c>
      <c r="Q908" s="227">
        <f t="shared" si="295"/>
        <v>3.125</v>
      </c>
      <c r="R908" s="226">
        <v>1</v>
      </c>
      <c r="S908" s="227">
        <f t="shared" si="264"/>
        <v>4.13</v>
      </c>
      <c r="T908" s="203" t="s">
        <v>48</v>
      </c>
      <c r="U908" s="183" t="str">
        <f t="shared" si="265"/>
        <v>4.13 Hrs</v>
      </c>
    </row>
    <row r="909" spans="3:21" s="172" customFormat="1" ht="20.25" customHeight="1">
      <c r="C909" s="185"/>
      <c r="D909" s="190">
        <f t="shared" si="291"/>
        <v>909</v>
      </c>
      <c r="E909" s="194" t="s">
        <v>303</v>
      </c>
      <c r="F909" s="198">
        <f t="shared" si="296"/>
        <v>908</v>
      </c>
      <c r="G909" s="193" t="s">
        <v>115</v>
      </c>
      <c r="H909" s="193"/>
      <c r="I909" s="220">
        <f>I908</f>
        <v>12</v>
      </c>
      <c r="J909" s="198" t="str">
        <f>J904</f>
        <v>0 mm</v>
      </c>
      <c r="K909" s="221">
        <v>1</v>
      </c>
      <c r="L909" s="195" t="s">
        <v>81</v>
      </c>
      <c r="M909" s="214">
        <f t="shared" si="294"/>
        <v>0</v>
      </c>
      <c r="N909" s="195" t="s">
        <v>139</v>
      </c>
      <c r="O909" s="233">
        <f>VLOOKUP(I909,BM!$B$3:$Y$62,12,FALSE)</f>
        <v>2.5</v>
      </c>
      <c r="P909" s="195" t="s">
        <v>112</v>
      </c>
      <c r="Q909" s="227">
        <f t="shared" si="295"/>
        <v>0</v>
      </c>
      <c r="R909" s="226">
        <v>1</v>
      </c>
      <c r="S909" s="227">
        <f t="shared" si="264"/>
        <v>1</v>
      </c>
      <c r="T909" s="203" t="s">
        <v>48</v>
      </c>
      <c r="U909" s="183" t="str">
        <f t="shared" si="265"/>
        <v>1 Hrs</v>
      </c>
    </row>
    <row r="910" spans="3:21" s="172" customFormat="1" ht="20.25" customHeight="1">
      <c r="C910" s="185">
        <f>D910</f>
        <v>910</v>
      </c>
      <c r="D910" s="190">
        <f t="shared" si="291"/>
        <v>910</v>
      </c>
      <c r="E910" s="191" t="s">
        <v>304</v>
      </c>
      <c r="F910" s="197">
        <f>D905</f>
        <v>905</v>
      </c>
      <c r="G910" s="193"/>
      <c r="H910" s="193"/>
      <c r="I910" s="195"/>
      <c r="J910" s="195"/>
      <c r="K910" s="221"/>
      <c r="L910" s="195"/>
      <c r="M910" s="204"/>
      <c r="N910" s="195"/>
      <c r="O910" s="205"/>
      <c r="P910" s="195"/>
      <c r="Q910" s="227"/>
      <c r="R910" s="226"/>
      <c r="S910" s="227"/>
      <c r="T910" s="203"/>
      <c r="U910" s="183"/>
    </row>
    <row r="911" spans="3:21" s="172" customFormat="1" ht="20.25" customHeight="1">
      <c r="C911" s="185"/>
      <c r="D911" s="190">
        <f t="shared" si="291"/>
        <v>911</v>
      </c>
      <c r="E911" s="194" t="s">
        <v>305</v>
      </c>
      <c r="F911" s="198"/>
      <c r="G911" s="193" t="s">
        <v>61</v>
      </c>
      <c r="H911" s="193"/>
      <c r="I911" s="211">
        <v>18</v>
      </c>
      <c r="J911" s="198" t="str">
        <f>J906</f>
        <v>2500 mm</v>
      </c>
      <c r="K911" s="221">
        <v>1</v>
      </c>
      <c r="L911" s="195" t="s">
        <v>81</v>
      </c>
      <c r="M911" s="214">
        <f t="shared" ref="M911:M914" si="297">LEFT(J911,SEARCH(" ",J911,1)-1)*K911*0.001</f>
        <v>2.5</v>
      </c>
      <c r="N911" s="195" t="s">
        <v>139</v>
      </c>
      <c r="O911" s="233">
        <f>VLOOKUP(I911,BM!$B$3:$Y$62,18,FALSE)</f>
        <v>1</v>
      </c>
      <c r="P911" s="195" t="s">
        <v>112</v>
      </c>
      <c r="Q911" s="227">
        <f t="shared" ref="Q911:Q914" si="298">M911*O911</f>
        <v>2.5</v>
      </c>
      <c r="R911" s="226">
        <v>1</v>
      </c>
      <c r="S911" s="227">
        <f t="shared" si="264"/>
        <v>3.5</v>
      </c>
      <c r="T911" s="203" t="s">
        <v>48</v>
      </c>
      <c r="U911" s="183" t="str">
        <f t="shared" si="265"/>
        <v>3.5 Hrs</v>
      </c>
    </row>
    <row r="912" spans="3:21" s="172" customFormat="1" ht="20.25" customHeight="1">
      <c r="C912" s="185"/>
      <c r="D912" s="190">
        <f t="shared" si="291"/>
        <v>912</v>
      </c>
      <c r="E912" s="194" t="s">
        <v>305</v>
      </c>
      <c r="F912" s="198">
        <f t="shared" ref="F912:F914" si="299">D911</f>
        <v>911</v>
      </c>
      <c r="G912" s="193" t="s">
        <v>61</v>
      </c>
      <c r="H912" s="193"/>
      <c r="I912" s="211">
        <v>18</v>
      </c>
      <c r="J912" s="198" t="str">
        <f>J907</f>
        <v>2500 mm</v>
      </c>
      <c r="K912" s="221">
        <v>1</v>
      </c>
      <c r="L912" s="195" t="s">
        <v>81</v>
      </c>
      <c r="M912" s="214">
        <f t="shared" si="297"/>
        <v>2.5</v>
      </c>
      <c r="N912" s="195" t="s">
        <v>139</v>
      </c>
      <c r="O912" s="233">
        <f>VLOOKUP(I912,BM!$B$3:$Y$62,18,FALSE)</f>
        <v>1</v>
      </c>
      <c r="P912" s="195" t="s">
        <v>112</v>
      </c>
      <c r="Q912" s="227">
        <f t="shared" si="298"/>
        <v>2.5</v>
      </c>
      <c r="R912" s="226">
        <v>1</v>
      </c>
      <c r="S912" s="227">
        <f t="shared" si="264"/>
        <v>3.5</v>
      </c>
      <c r="T912" s="203" t="s">
        <v>48</v>
      </c>
      <c r="U912" s="183" t="str">
        <f t="shared" si="265"/>
        <v>3.5 Hrs</v>
      </c>
    </row>
    <row r="913" spans="3:21" s="172" customFormat="1" ht="20.25" customHeight="1">
      <c r="C913" s="185"/>
      <c r="D913" s="190">
        <f t="shared" si="291"/>
        <v>913</v>
      </c>
      <c r="E913" s="194" t="s">
        <v>305</v>
      </c>
      <c r="F913" s="198">
        <f t="shared" si="299"/>
        <v>912</v>
      </c>
      <c r="G913" s="193" t="s">
        <v>61</v>
      </c>
      <c r="H913" s="193"/>
      <c r="I913" s="211">
        <v>18</v>
      </c>
      <c r="J913" s="198" t="str">
        <f>J908</f>
        <v>1250 mm</v>
      </c>
      <c r="K913" s="221">
        <v>1</v>
      </c>
      <c r="L913" s="195" t="s">
        <v>81</v>
      </c>
      <c r="M913" s="214">
        <f t="shared" si="297"/>
        <v>1.25</v>
      </c>
      <c r="N913" s="195" t="s">
        <v>139</v>
      </c>
      <c r="O913" s="233">
        <f>VLOOKUP(I913,BM!$B$3:$Y$62,18,FALSE)</f>
        <v>1</v>
      </c>
      <c r="P913" s="195" t="s">
        <v>112</v>
      </c>
      <c r="Q913" s="227">
        <f t="shared" si="298"/>
        <v>1.25</v>
      </c>
      <c r="R913" s="226">
        <v>1</v>
      </c>
      <c r="S913" s="227">
        <f t="shared" si="264"/>
        <v>2.25</v>
      </c>
      <c r="T913" s="203" t="s">
        <v>48</v>
      </c>
      <c r="U913" s="183" t="str">
        <f t="shared" si="265"/>
        <v>2.25 Hrs</v>
      </c>
    </row>
    <row r="914" spans="3:21" s="172" customFormat="1" ht="20.25" customHeight="1">
      <c r="C914" s="185"/>
      <c r="D914" s="190">
        <f t="shared" si="291"/>
        <v>914</v>
      </c>
      <c r="E914" s="194" t="s">
        <v>305</v>
      </c>
      <c r="F914" s="198">
        <f t="shared" si="299"/>
        <v>913</v>
      </c>
      <c r="G914" s="193" t="s">
        <v>61</v>
      </c>
      <c r="H914" s="193"/>
      <c r="I914" s="211">
        <v>18</v>
      </c>
      <c r="J914" s="198" t="str">
        <f>J909</f>
        <v>0 mm</v>
      </c>
      <c r="K914" s="221">
        <v>1</v>
      </c>
      <c r="L914" s="195" t="s">
        <v>81</v>
      </c>
      <c r="M914" s="214">
        <f t="shared" si="297"/>
        <v>0</v>
      </c>
      <c r="N914" s="195" t="s">
        <v>139</v>
      </c>
      <c r="O914" s="233">
        <f>VLOOKUP(I914,BM!$B$3:$Y$62,18,FALSE)</f>
        <v>1</v>
      </c>
      <c r="P914" s="195" t="s">
        <v>112</v>
      </c>
      <c r="Q914" s="227">
        <f t="shared" si="298"/>
        <v>0</v>
      </c>
      <c r="R914" s="226">
        <v>1</v>
      </c>
      <c r="S914" s="227">
        <f t="shared" si="264"/>
        <v>1</v>
      </c>
      <c r="T914" s="203" t="s">
        <v>48</v>
      </c>
      <c r="U914" s="183" t="str">
        <f t="shared" si="265"/>
        <v>1 Hrs</v>
      </c>
    </row>
    <row r="915" spans="3:21" s="172" customFormat="1" ht="20.25" customHeight="1">
      <c r="C915" s="185">
        <f>D915</f>
        <v>915</v>
      </c>
      <c r="D915" s="190">
        <f t="shared" si="291"/>
        <v>915</v>
      </c>
      <c r="E915" s="191" t="s">
        <v>306</v>
      </c>
      <c r="F915" s="197">
        <f>D910</f>
        <v>910</v>
      </c>
      <c r="G915" s="193"/>
      <c r="H915" s="193"/>
      <c r="I915" s="195"/>
      <c r="J915" s="195"/>
      <c r="K915" s="221"/>
      <c r="L915" s="195"/>
      <c r="M915" s="204"/>
      <c r="N915" s="195"/>
      <c r="O915" s="205"/>
      <c r="P915" s="195"/>
      <c r="Q915" s="227"/>
      <c r="R915" s="226"/>
      <c r="S915" s="227"/>
      <c r="T915" s="203"/>
      <c r="U915" s="183"/>
    </row>
    <row r="916" spans="3:21" s="172" customFormat="1" ht="20.25" customHeight="1">
      <c r="C916" s="185"/>
      <c r="D916" s="190">
        <f t="shared" si="291"/>
        <v>916</v>
      </c>
      <c r="E916" s="194" t="s">
        <v>307</v>
      </c>
      <c r="F916" s="198"/>
      <c r="G916" s="193" t="s">
        <v>115</v>
      </c>
      <c r="H916" s="193"/>
      <c r="I916" s="211">
        <v>6</v>
      </c>
      <c r="J916" s="198" t="str">
        <f>J911</f>
        <v>2500 mm</v>
      </c>
      <c r="K916" s="221">
        <v>1</v>
      </c>
      <c r="L916" s="195" t="s">
        <v>81</v>
      </c>
      <c r="M916" s="214">
        <f t="shared" ref="M916:M919" si="300">LEFT(J916,SEARCH(" ",J916,1)-1)*K916*0.001</f>
        <v>2.5</v>
      </c>
      <c r="N916" s="195" t="s">
        <v>139</v>
      </c>
      <c r="O916" s="233">
        <f>VLOOKUP(I916,BM!$B$3:$Y$62,12,FALSE)</f>
        <v>0.9</v>
      </c>
      <c r="P916" s="195" t="s">
        <v>112</v>
      </c>
      <c r="Q916" s="227">
        <f t="shared" ref="Q916:Q919" si="301">M916*O916</f>
        <v>2.25</v>
      </c>
      <c r="R916" s="226">
        <v>1</v>
      </c>
      <c r="S916" s="227">
        <f t="shared" si="264"/>
        <v>3.25</v>
      </c>
      <c r="T916" s="203" t="s">
        <v>48</v>
      </c>
      <c r="U916" s="183" t="str">
        <f t="shared" si="265"/>
        <v>3.25 Hrs</v>
      </c>
    </row>
    <row r="917" spans="3:21" s="172" customFormat="1" ht="20.25" customHeight="1">
      <c r="C917" s="185"/>
      <c r="D917" s="190">
        <f t="shared" si="291"/>
        <v>917</v>
      </c>
      <c r="E917" s="194" t="s">
        <v>307</v>
      </c>
      <c r="F917" s="198">
        <f t="shared" ref="F917:F919" si="302">D916</f>
        <v>916</v>
      </c>
      <c r="G917" s="193" t="s">
        <v>115</v>
      </c>
      <c r="H917" s="193"/>
      <c r="I917" s="220">
        <f>I916</f>
        <v>6</v>
      </c>
      <c r="J917" s="198" t="str">
        <f>J912</f>
        <v>2500 mm</v>
      </c>
      <c r="K917" s="221">
        <v>1</v>
      </c>
      <c r="L917" s="195" t="s">
        <v>81</v>
      </c>
      <c r="M917" s="214">
        <f t="shared" si="300"/>
        <v>2.5</v>
      </c>
      <c r="N917" s="195" t="s">
        <v>139</v>
      </c>
      <c r="O917" s="233">
        <f>VLOOKUP(I917,BM!$B$3:$Y$62,12,FALSE)</f>
        <v>0.9</v>
      </c>
      <c r="P917" s="195" t="s">
        <v>112</v>
      </c>
      <c r="Q917" s="227">
        <f t="shared" si="301"/>
        <v>2.25</v>
      </c>
      <c r="R917" s="226">
        <v>1</v>
      </c>
      <c r="S917" s="227">
        <f t="shared" si="264"/>
        <v>3.25</v>
      </c>
      <c r="T917" s="203" t="s">
        <v>48</v>
      </c>
      <c r="U917" s="183" t="str">
        <f t="shared" si="265"/>
        <v>3.25 Hrs</v>
      </c>
    </row>
    <row r="918" spans="3:21" s="172" customFormat="1" ht="20.25" customHeight="1">
      <c r="C918" s="185"/>
      <c r="D918" s="190">
        <f t="shared" si="291"/>
        <v>918</v>
      </c>
      <c r="E918" s="194" t="s">
        <v>307</v>
      </c>
      <c r="F918" s="198">
        <f t="shared" si="302"/>
        <v>917</v>
      </c>
      <c r="G918" s="193" t="s">
        <v>115</v>
      </c>
      <c r="H918" s="193"/>
      <c r="I918" s="220">
        <f>I917</f>
        <v>6</v>
      </c>
      <c r="J918" s="198" t="str">
        <f>J913</f>
        <v>1250 mm</v>
      </c>
      <c r="K918" s="221">
        <v>1</v>
      </c>
      <c r="L918" s="195" t="s">
        <v>81</v>
      </c>
      <c r="M918" s="214">
        <f t="shared" si="300"/>
        <v>1.25</v>
      </c>
      <c r="N918" s="195" t="s">
        <v>139</v>
      </c>
      <c r="O918" s="233">
        <f>VLOOKUP(I918,BM!$B$3:$Y$62,12,FALSE)</f>
        <v>0.9</v>
      </c>
      <c r="P918" s="195" t="s">
        <v>112</v>
      </c>
      <c r="Q918" s="227">
        <f t="shared" si="301"/>
        <v>1.125</v>
      </c>
      <c r="R918" s="226">
        <v>1</v>
      </c>
      <c r="S918" s="227">
        <f t="shared" si="264"/>
        <v>2.13</v>
      </c>
      <c r="T918" s="203" t="s">
        <v>48</v>
      </c>
      <c r="U918" s="183" t="str">
        <f t="shared" si="265"/>
        <v>2.13 Hrs</v>
      </c>
    </row>
    <row r="919" spans="3:21" s="172" customFormat="1" ht="20.25" customHeight="1">
      <c r="C919" s="185"/>
      <c r="D919" s="190">
        <f t="shared" si="291"/>
        <v>919</v>
      </c>
      <c r="E919" s="194" t="s">
        <v>307</v>
      </c>
      <c r="F919" s="198">
        <f t="shared" si="302"/>
        <v>918</v>
      </c>
      <c r="G919" s="193" t="s">
        <v>115</v>
      </c>
      <c r="H919" s="193"/>
      <c r="I919" s="220">
        <f>I918</f>
        <v>6</v>
      </c>
      <c r="J919" s="198" t="str">
        <f>J914</f>
        <v>0 mm</v>
      </c>
      <c r="K919" s="221">
        <v>1</v>
      </c>
      <c r="L919" s="195" t="s">
        <v>81</v>
      </c>
      <c r="M919" s="214">
        <f t="shared" si="300"/>
        <v>0</v>
      </c>
      <c r="N919" s="195" t="s">
        <v>139</v>
      </c>
      <c r="O919" s="233">
        <f>VLOOKUP(I919,BM!$B$3:$Y$62,12,FALSE)</f>
        <v>0.9</v>
      </c>
      <c r="P919" s="195" t="s">
        <v>112</v>
      </c>
      <c r="Q919" s="227">
        <f t="shared" si="301"/>
        <v>0</v>
      </c>
      <c r="R919" s="226">
        <v>1</v>
      </c>
      <c r="S919" s="227">
        <f t="shared" si="264"/>
        <v>1</v>
      </c>
      <c r="T919" s="203" t="s">
        <v>48</v>
      </c>
      <c r="U919" s="183" t="str">
        <f t="shared" si="265"/>
        <v>1 Hrs</v>
      </c>
    </row>
    <row r="920" spans="3:21" s="172" customFormat="1" ht="20.25" customHeight="1">
      <c r="C920" s="185">
        <f>D920</f>
        <v>920</v>
      </c>
      <c r="D920" s="190">
        <f t="shared" si="291"/>
        <v>920</v>
      </c>
      <c r="E920" s="191" t="s">
        <v>308</v>
      </c>
      <c r="F920" s="197">
        <f>D915</f>
        <v>915</v>
      </c>
      <c r="G920" s="193"/>
      <c r="H920" s="193"/>
      <c r="I920" s="195"/>
      <c r="J920" s="195"/>
      <c r="K920" s="221"/>
      <c r="L920" s="195"/>
      <c r="M920" s="204"/>
      <c r="N920" s="195"/>
      <c r="O920" s="205"/>
      <c r="P920" s="195"/>
      <c r="Q920" s="227"/>
      <c r="R920" s="226"/>
      <c r="S920" s="227"/>
      <c r="T920" s="203"/>
      <c r="U920" s="183"/>
    </row>
    <row r="921" spans="3:21" s="172" customFormat="1" ht="20.25" customHeight="1">
      <c r="C921" s="185"/>
      <c r="D921" s="190">
        <f t="shared" si="291"/>
        <v>921</v>
      </c>
      <c r="E921" s="194" t="s">
        <v>309</v>
      </c>
      <c r="F921" s="198"/>
      <c r="G921" s="193" t="s">
        <v>61</v>
      </c>
      <c r="H921" s="193"/>
      <c r="I921" s="220">
        <f>I911</f>
        <v>18</v>
      </c>
      <c r="J921" s="198" t="str">
        <f>J916</f>
        <v>2500 mm</v>
      </c>
      <c r="K921" s="221">
        <v>1</v>
      </c>
      <c r="L921" s="195" t="s">
        <v>81</v>
      </c>
      <c r="M921" s="214">
        <f t="shared" ref="M921:M924" si="303">LEFT(J921,SEARCH(" ",J921,1)-1)*K921*0.001</f>
        <v>2.5</v>
      </c>
      <c r="N921" s="195" t="s">
        <v>139</v>
      </c>
      <c r="O921" s="233">
        <f>VLOOKUP(I921,BM!$B$3:$Y$62,20,FALSE)</f>
        <v>0.5</v>
      </c>
      <c r="P921" s="195" t="s">
        <v>112</v>
      </c>
      <c r="Q921" s="227">
        <f t="shared" ref="Q921:Q924" si="304">M921*O921</f>
        <v>1.25</v>
      </c>
      <c r="R921" s="226">
        <v>1</v>
      </c>
      <c r="S921" s="227">
        <f t="shared" si="264"/>
        <v>2.25</v>
      </c>
      <c r="T921" s="203" t="s">
        <v>48</v>
      </c>
      <c r="U921" s="183" t="str">
        <f t="shared" si="265"/>
        <v>2.25 Hrs</v>
      </c>
    </row>
    <row r="922" spans="3:21" s="172" customFormat="1" ht="20.25" customHeight="1">
      <c r="C922" s="185"/>
      <c r="D922" s="190">
        <f t="shared" si="291"/>
        <v>922</v>
      </c>
      <c r="E922" s="194" t="s">
        <v>309</v>
      </c>
      <c r="F922" s="198">
        <f t="shared" ref="F922:F924" si="305">D921</f>
        <v>921</v>
      </c>
      <c r="G922" s="193" t="s">
        <v>61</v>
      </c>
      <c r="H922" s="193"/>
      <c r="I922" s="220">
        <f t="shared" ref="I922:I924" si="306">I921</f>
        <v>18</v>
      </c>
      <c r="J922" s="198" t="str">
        <f>J917</f>
        <v>2500 mm</v>
      </c>
      <c r="K922" s="221">
        <v>1</v>
      </c>
      <c r="L922" s="195" t="s">
        <v>81</v>
      </c>
      <c r="M922" s="214">
        <f t="shared" si="303"/>
        <v>2.5</v>
      </c>
      <c r="N922" s="195" t="s">
        <v>139</v>
      </c>
      <c r="O922" s="233">
        <f>VLOOKUP(I922,BM!$B$3:$Y$62,20,FALSE)</f>
        <v>0.5</v>
      </c>
      <c r="P922" s="195" t="s">
        <v>112</v>
      </c>
      <c r="Q922" s="227">
        <f t="shared" si="304"/>
        <v>1.25</v>
      </c>
      <c r="R922" s="226">
        <v>1</v>
      </c>
      <c r="S922" s="227">
        <f t="shared" si="264"/>
        <v>2.25</v>
      </c>
      <c r="T922" s="203" t="s">
        <v>48</v>
      </c>
      <c r="U922" s="183" t="str">
        <f t="shared" si="265"/>
        <v>2.25 Hrs</v>
      </c>
    </row>
    <row r="923" spans="3:21" s="172" customFormat="1" ht="20.25" customHeight="1">
      <c r="C923" s="185"/>
      <c r="D923" s="190">
        <f t="shared" si="291"/>
        <v>923</v>
      </c>
      <c r="E923" s="194" t="s">
        <v>309</v>
      </c>
      <c r="F923" s="198">
        <f t="shared" si="305"/>
        <v>922</v>
      </c>
      <c r="G923" s="193" t="s">
        <v>61</v>
      </c>
      <c r="H923" s="193"/>
      <c r="I923" s="220">
        <f t="shared" si="306"/>
        <v>18</v>
      </c>
      <c r="J923" s="198" t="str">
        <f>J918</f>
        <v>1250 mm</v>
      </c>
      <c r="K923" s="221">
        <v>1</v>
      </c>
      <c r="L923" s="195" t="s">
        <v>81</v>
      </c>
      <c r="M923" s="214">
        <f t="shared" si="303"/>
        <v>1.25</v>
      </c>
      <c r="N923" s="195" t="s">
        <v>139</v>
      </c>
      <c r="O923" s="233">
        <f>VLOOKUP(I923,BM!$B$3:$Y$62,20,FALSE)</f>
        <v>0.5</v>
      </c>
      <c r="P923" s="195" t="s">
        <v>112</v>
      </c>
      <c r="Q923" s="227">
        <f t="shared" si="304"/>
        <v>0.625</v>
      </c>
      <c r="R923" s="226">
        <v>1</v>
      </c>
      <c r="S923" s="227">
        <f t="shared" si="264"/>
        <v>1.63</v>
      </c>
      <c r="T923" s="203" t="s">
        <v>48</v>
      </c>
      <c r="U923" s="183" t="str">
        <f t="shared" si="265"/>
        <v>1.63 Hrs</v>
      </c>
    </row>
    <row r="924" spans="3:21" s="172" customFormat="1" ht="20.25" customHeight="1">
      <c r="C924" s="185"/>
      <c r="D924" s="190">
        <f t="shared" si="291"/>
        <v>924</v>
      </c>
      <c r="E924" s="194" t="s">
        <v>309</v>
      </c>
      <c r="F924" s="198">
        <f t="shared" si="305"/>
        <v>923</v>
      </c>
      <c r="G924" s="193" t="s">
        <v>61</v>
      </c>
      <c r="H924" s="193"/>
      <c r="I924" s="220">
        <f t="shared" si="306"/>
        <v>18</v>
      </c>
      <c r="J924" s="198" t="str">
        <f>J919</f>
        <v>0 mm</v>
      </c>
      <c r="K924" s="221">
        <v>1</v>
      </c>
      <c r="L924" s="195" t="s">
        <v>81</v>
      </c>
      <c r="M924" s="214">
        <f t="shared" si="303"/>
        <v>0</v>
      </c>
      <c r="N924" s="195" t="s">
        <v>139</v>
      </c>
      <c r="O924" s="233">
        <f>VLOOKUP(I924,BM!$B$3:$Y$62,20,FALSE)</f>
        <v>0.5</v>
      </c>
      <c r="P924" s="195" t="s">
        <v>112</v>
      </c>
      <c r="Q924" s="227">
        <f t="shared" si="304"/>
        <v>0</v>
      </c>
      <c r="R924" s="226">
        <v>1</v>
      </c>
      <c r="S924" s="227">
        <f t="shared" si="264"/>
        <v>1</v>
      </c>
      <c r="T924" s="203" t="s">
        <v>48</v>
      </c>
      <c r="U924" s="183" t="str">
        <f t="shared" ref="U924:U987" si="307">CONCATENATE(S924," ",T924)</f>
        <v>1 Hrs</v>
      </c>
    </row>
    <row r="925" spans="3:21" s="172" customFormat="1" ht="20.25" customHeight="1">
      <c r="C925" s="185">
        <f>D925</f>
        <v>925</v>
      </c>
      <c r="D925" s="190">
        <f t="shared" si="291"/>
        <v>925</v>
      </c>
      <c r="E925" s="191" t="s">
        <v>310</v>
      </c>
      <c r="F925" s="197">
        <f>D920</f>
        <v>920</v>
      </c>
      <c r="G925" s="193"/>
      <c r="H925" s="193"/>
      <c r="I925" s="195"/>
      <c r="J925" s="195"/>
      <c r="K925" s="221"/>
      <c r="L925" s="195"/>
      <c r="M925" s="204"/>
      <c r="N925" s="195"/>
      <c r="O925" s="205"/>
      <c r="P925" s="195"/>
      <c r="Q925" s="227"/>
      <c r="R925" s="226"/>
      <c r="S925" s="227"/>
      <c r="T925" s="203"/>
      <c r="U925" s="183"/>
    </row>
    <row r="926" spans="3:21" s="172" customFormat="1" ht="20.25" customHeight="1">
      <c r="C926" s="185"/>
      <c r="D926" s="190">
        <f t="shared" si="291"/>
        <v>926</v>
      </c>
      <c r="E926" s="194" t="s">
        <v>311</v>
      </c>
      <c r="F926" s="198"/>
      <c r="G926" s="193" t="s">
        <v>312</v>
      </c>
      <c r="H926" s="193"/>
      <c r="I926" s="220">
        <f>I924</f>
        <v>18</v>
      </c>
      <c r="J926" s="198" t="str">
        <f>J921</f>
        <v>2500 mm</v>
      </c>
      <c r="K926" s="221">
        <v>1</v>
      </c>
      <c r="L926" s="195" t="s">
        <v>81</v>
      </c>
      <c r="M926" s="204">
        <v>1</v>
      </c>
      <c r="N926" s="195" t="s">
        <v>39</v>
      </c>
      <c r="O926" s="205">
        <v>1</v>
      </c>
      <c r="P926" s="195" t="s">
        <v>41</v>
      </c>
      <c r="Q926" s="227">
        <f t="shared" ref="Q926:Q934" si="308">M926*O926</f>
        <v>1</v>
      </c>
      <c r="R926" s="226"/>
      <c r="S926" s="227">
        <f t="shared" ref="S926:S988" si="309">ROUND(Q926+R926,2)</f>
        <v>1</v>
      </c>
      <c r="T926" s="203" t="s">
        <v>42</v>
      </c>
      <c r="U926" s="183" t="str">
        <f t="shared" si="307"/>
        <v>1 Days</v>
      </c>
    </row>
    <row r="927" spans="3:21" s="172" customFormat="1" ht="20.25" customHeight="1">
      <c r="C927" s="185"/>
      <c r="D927" s="190">
        <f t="shared" si="291"/>
        <v>927</v>
      </c>
      <c r="E927" s="194" t="s">
        <v>311</v>
      </c>
      <c r="F927" s="198">
        <f t="shared" ref="F927:F929" si="310">D926</f>
        <v>926</v>
      </c>
      <c r="G927" s="193" t="s">
        <v>312</v>
      </c>
      <c r="H927" s="193"/>
      <c r="I927" s="220">
        <f t="shared" ref="I927:I929" si="311">I926</f>
        <v>18</v>
      </c>
      <c r="J927" s="198" t="str">
        <f>J922</f>
        <v>2500 mm</v>
      </c>
      <c r="K927" s="221">
        <v>1</v>
      </c>
      <c r="L927" s="195" t="s">
        <v>81</v>
      </c>
      <c r="M927" s="204">
        <v>1</v>
      </c>
      <c r="N927" s="195" t="s">
        <v>39</v>
      </c>
      <c r="O927" s="233">
        <f t="shared" ref="O927:P927" si="312">O926</f>
        <v>1</v>
      </c>
      <c r="P927" s="198" t="str">
        <f t="shared" si="312"/>
        <v>Day</v>
      </c>
      <c r="Q927" s="227">
        <f t="shared" si="308"/>
        <v>1</v>
      </c>
      <c r="R927" s="226"/>
      <c r="S927" s="227">
        <f t="shared" si="309"/>
        <v>1</v>
      </c>
      <c r="T927" s="203" t="s">
        <v>42</v>
      </c>
      <c r="U927" s="183" t="str">
        <f t="shared" si="307"/>
        <v>1 Days</v>
      </c>
    </row>
    <row r="928" spans="3:21" s="172" customFormat="1" ht="20.25" customHeight="1">
      <c r="C928" s="185"/>
      <c r="D928" s="190">
        <f t="shared" si="291"/>
        <v>928</v>
      </c>
      <c r="E928" s="194" t="s">
        <v>311</v>
      </c>
      <c r="F928" s="198">
        <f t="shared" si="310"/>
        <v>927</v>
      </c>
      <c r="G928" s="193" t="s">
        <v>312</v>
      </c>
      <c r="H928" s="193"/>
      <c r="I928" s="220">
        <f t="shared" si="311"/>
        <v>18</v>
      </c>
      <c r="J928" s="198" t="str">
        <f>J923</f>
        <v>1250 mm</v>
      </c>
      <c r="K928" s="221">
        <v>1</v>
      </c>
      <c r="L928" s="195" t="s">
        <v>81</v>
      </c>
      <c r="M928" s="204">
        <v>1</v>
      </c>
      <c r="N928" s="195" t="s">
        <v>39</v>
      </c>
      <c r="O928" s="233">
        <f t="shared" ref="O928:P928" si="313">O927</f>
        <v>1</v>
      </c>
      <c r="P928" s="198" t="str">
        <f t="shared" si="313"/>
        <v>Day</v>
      </c>
      <c r="Q928" s="227">
        <f t="shared" si="308"/>
        <v>1</v>
      </c>
      <c r="R928" s="226"/>
      <c r="S928" s="227">
        <f t="shared" si="309"/>
        <v>1</v>
      </c>
      <c r="T928" s="203" t="s">
        <v>42</v>
      </c>
      <c r="U928" s="183" t="str">
        <f t="shared" si="307"/>
        <v>1 Days</v>
      </c>
    </row>
    <row r="929" spans="3:21" s="172" customFormat="1" ht="20.25" customHeight="1">
      <c r="C929" s="185"/>
      <c r="D929" s="190">
        <f t="shared" si="291"/>
        <v>929</v>
      </c>
      <c r="E929" s="194" t="s">
        <v>311</v>
      </c>
      <c r="F929" s="198">
        <f t="shared" si="310"/>
        <v>928</v>
      </c>
      <c r="G929" s="193" t="s">
        <v>312</v>
      </c>
      <c r="H929" s="193"/>
      <c r="I929" s="220">
        <f t="shared" si="311"/>
        <v>18</v>
      </c>
      <c r="J929" s="198" t="str">
        <f>J924</f>
        <v>0 mm</v>
      </c>
      <c r="K929" s="221">
        <v>1</v>
      </c>
      <c r="L929" s="195" t="s">
        <v>81</v>
      </c>
      <c r="M929" s="204">
        <v>1</v>
      </c>
      <c r="N929" s="195" t="s">
        <v>39</v>
      </c>
      <c r="O929" s="233">
        <f t="shared" ref="O929:P929" si="314">O928</f>
        <v>1</v>
      </c>
      <c r="P929" s="198" t="str">
        <f t="shared" si="314"/>
        <v>Day</v>
      </c>
      <c r="Q929" s="227">
        <f t="shared" si="308"/>
        <v>1</v>
      </c>
      <c r="R929" s="226"/>
      <c r="S929" s="227">
        <f t="shared" si="309"/>
        <v>1</v>
      </c>
      <c r="T929" s="203" t="s">
        <v>42</v>
      </c>
      <c r="U929" s="183" t="str">
        <f t="shared" si="307"/>
        <v>1 Days</v>
      </c>
    </row>
    <row r="930" spans="3:21" s="172" customFormat="1" ht="20.25" customHeight="1">
      <c r="C930" s="185">
        <f>D930</f>
        <v>930</v>
      </c>
      <c r="D930" s="190">
        <f t="shared" si="291"/>
        <v>930</v>
      </c>
      <c r="E930" s="191" t="s">
        <v>313</v>
      </c>
      <c r="F930" s="197">
        <f>D925</f>
        <v>925</v>
      </c>
      <c r="G930" s="193"/>
      <c r="H930" s="193"/>
      <c r="I930" s="195"/>
      <c r="J930" s="195"/>
      <c r="K930" s="221"/>
      <c r="L930" s="195"/>
      <c r="M930" s="204"/>
      <c r="N930" s="195"/>
      <c r="O930" s="205"/>
      <c r="P930" s="195"/>
      <c r="Q930" s="227">
        <f t="shared" si="308"/>
        <v>0</v>
      </c>
      <c r="R930" s="226"/>
      <c r="S930" s="227"/>
      <c r="T930" s="203"/>
      <c r="U930" s="183"/>
    </row>
    <row r="931" spans="3:21" s="172" customFormat="1" ht="20.25" customHeight="1">
      <c r="C931" s="185"/>
      <c r="D931" s="190">
        <f t="shared" si="291"/>
        <v>931</v>
      </c>
      <c r="E931" s="194" t="s">
        <v>314</v>
      </c>
      <c r="F931" s="198"/>
      <c r="G931" s="193" t="s">
        <v>286</v>
      </c>
      <c r="H931" s="193"/>
      <c r="I931" s="220">
        <f>I929</f>
        <v>18</v>
      </c>
      <c r="J931" s="198" t="str">
        <f>J926</f>
        <v>2500 mm</v>
      </c>
      <c r="K931" s="221">
        <v>1</v>
      </c>
      <c r="L931" s="195" t="s">
        <v>81</v>
      </c>
      <c r="M931" s="222">
        <f>K931</f>
        <v>1</v>
      </c>
      <c r="N931" s="195" t="s">
        <v>39</v>
      </c>
      <c r="O931" s="205">
        <v>3</v>
      </c>
      <c r="P931" s="195" t="s">
        <v>112</v>
      </c>
      <c r="Q931" s="227">
        <f t="shared" si="308"/>
        <v>3</v>
      </c>
      <c r="R931" s="226">
        <v>1</v>
      </c>
      <c r="S931" s="227">
        <f t="shared" si="309"/>
        <v>4</v>
      </c>
      <c r="T931" s="203" t="s">
        <v>48</v>
      </c>
      <c r="U931" s="183" t="str">
        <f t="shared" si="307"/>
        <v>4 Hrs</v>
      </c>
    </row>
    <row r="932" spans="3:21" s="172" customFormat="1" ht="20.25" customHeight="1">
      <c r="C932" s="185"/>
      <c r="D932" s="190">
        <f t="shared" si="291"/>
        <v>932</v>
      </c>
      <c r="E932" s="194" t="s">
        <v>314</v>
      </c>
      <c r="F932" s="198">
        <f t="shared" ref="F932:F934" si="315">D931</f>
        <v>931</v>
      </c>
      <c r="G932" s="193" t="s">
        <v>286</v>
      </c>
      <c r="H932" s="193"/>
      <c r="I932" s="220">
        <f>I929</f>
        <v>18</v>
      </c>
      <c r="J932" s="198" t="str">
        <f>J927</f>
        <v>2500 mm</v>
      </c>
      <c r="K932" s="221">
        <v>1</v>
      </c>
      <c r="L932" s="195" t="s">
        <v>81</v>
      </c>
      <c r="M932" s="222">
        <f>K932</f>
        <v>1</v>
      </c>
      <c r="N932" s="195" t="s">
        <v>39</v>
      </c>
      <c r="O932" s="233">
        <f>O931</f>
        <v>3</v>
      </c>
      <c r="P932" s="195" t="s">
        <v>112</v>
      </c>
      <c r="Q932" s="227">
        <f t="shared" si="308"/>
        <v>3</v>
      </c>
      <c r="R932" s="226">
        <v>1</v>
      </c>
      <c r="S932" s="227">
        <f t="shared" si="309"/>
        <v>4</v>
      </c>
      <c r="T932" s="203" t="s">
        <v>48</v>
      </c>
      <c r="U932" s="183" t="str">
        <f t="shared" si="307"/>
        <v>4 Hrs</v>
      </c>
    </row>
    <row r="933" spans="3:21" s="172" customFormat="1" ht="20.25" customHeight="1">
      <c r="C933" s="185"/>
      <c r="D933" s="190">
        <f t="shared" si="291"/>
        <v>933</v>
      </c>
      <c r="E933" s="194" t="s">
        <v>314</v>
      </c>
      <c r="F933" s="198">
        <f t="shared" si="315"/>
        <v>932</v>
      </c>
      <c r="G933" s="193" t="s">
        <v>286</v>
      </c>
      <c r="H933" s="193"/>
      <c r="I933" s="220">
        <f>I929</f>
        <v>18</v>
      </c>
      <c r="J933" s="198" t="str">
        <f>J928</f>
        <v>1250 mm</v>
      </c>
      <c r="K933" s="221">
        <v>1</v>
      </c>
      <c r="L933" s="195" t="s">
        <v>81</v>
      </c>
      <c r="M933" s="222">
        <f>K933</f>
        <v>1</v>
      </c>
      <c r="N933" s="195" t="s">
        <v>39</v>
      </c>
      <c r="O933" s="233">
        <f>O932</f>
        <v>3</v>
      </c>
      <c r="P933" s="195" t="s">
        <v>112</v>
      </c>
      <c r="Q933" s="227">
        <f t="shared" si="308"/>
        <v>3</v>
      </c>
      <c r="R933" s="226">
        <v>1</v>
      </c>
      <c r="S933" s="227">
        <f t="shared" si="309"/>
        <v>4</v>
      </c>
      <c r="T933" s="203" t="s">
        <v>48</v>
      </c>
      <c r="U933" s="183" t="str">
        <f t="shared" si="307"/>
        <v>4 Hrs</v>
      </c>
    </row>
    <row r="934" spans="3:21" s="172" customFormat="1" ht="20.25" customHeight="1">
      <c r="C934" s="185"/>
      <c r="D934" s="190">
        <f t="shared" si="291"/>
        <v>934</v>
      </c>
      <c r="E934" s="194" t="s">
        <v>314</v>
      </c>
      <c r="F934" s="198">
        <f t="shared" si="315"/>
        <v>933</v>
      </c>
      <c r="G934" s="193" t="s">
        <v>286</v>
      </c>
      <c r="H934" s="193"/>
      <c r="I934" s="220">
        <f>I929</f>
        <v>18</v>
      </c>
      <c r="J934" s="198" t="str">
        <f>J929</f>
        <v>0 mm</v>
      </c>
      <c r="K934" s="221">
        <v>1</v>
      </c>
      <c r="L934" s="195" t="s">
        <v>81</v>
      </c>
      <c r="M934" s="222">
        <f>K934</f>
        <v>1</v>
      </c>
      <c r="N934" s="195" t="s">
        <v>39</v>
      </c>
      <c r="O934" s="233">
        <f>O933</f>
        <v>3</v>
      </c>
      <c r="P934" s="195" t="s">
        <v>112</v>
      </c>
      <c r="Q934" s="227">
        <f t="shared" si="308"/>
        <v>3</v>
      </c>
      <c r="R934" s="226">
        <v>1</v>
      </c>
      <c r="S934" s="227">
        <f t="shared" si="309"/>
        <v>4</v>
      </c>
      <c r="T934" s="203" t="s">
        <v>48</v>
      </c>
      <c r="U934" s="183" t="str">
        <f t="shared" si="307"/>
        <v>4 Hrs</v>
      </c>
    </row>
    <row r="935" spans="3:21" s="172" customFormat="1" ht="20.25" customHeight="1">
      <c r="C935" s="185">
        <f>D935</f>
        <v>935</v>
      </c>
      <c r="D935" s="190">
        <f t="shared" si="291"/>
        <v>935</v>
      </c>
      <c r="E935" s="191" t="s">
        <v>315</v>
      </c>
      <c r="F935" s="197">
        <f>D930</f>
        <v>930</v>
      </c>
      <c r="G935" s="193"/>
      <c r="H935" s="193"/>
      <c r="I935" s="195"/>
      <c r="J935" s="195"/>
      <c r="K935" s="221"/>
      <c r="L935" s="195"/>
      <c r="M935" s="204"/>
      <c r="N935" s="195"/>
      <c r="O935" s="205"/>
      <c r="P935" s="195"/>
      <c r="Q935" s="227"/>
      <c r="R935" s="226"/>
      <c r="S935" s="227"/>
      <c r="T935" s="203"/>
      <c r="U935" s="183"/>
    </row>
    <row r="936" spans="3:21" s="172" customFormat="1" ht="20.25" customHeight="1">
      <c r="C936" s="185"/>
      <c r="D936" s="190">
        <f t="shared" si="291"/>
        <v>936</v>
      </c>
      <c r="E936" s="194" t="s">
        <v>316</v>
      </c>
      <c r="F936" s="198"/>
      <c r="G936" s="193" t="s">
        <v>44</v>
      </c>
      <c r="H936" s="193"/>
      <c r="I936" s="211">
        <v>18</v>
      </c>
      <c r="J936" s="212" t="s">
        <v>317</v>
      </c>
      <c r="K936" s="221">
        <v>1</v>
      </c>
      <c r="L936" s="195" t="s">
        <v>81</v>
      </c>
      <c r="M936" s="214">
        <f>LEFT(J936,SEARCH(" ",J936,1)-1)*3.142*K936*0.001</f>
        <v>4.9015199999999997</v>
      </c>
      <c r="N936" s="195" t="s">
        <v>139</v>
      </c>
      <c r="O936" s="233">
        <f>VLOOKUP(I936,BM!$B$3:$Y$62,10,FALSE)</f>
        <v>1</v>
      </c>
      <c r="P936" s="195" t="s">
        <v>112</v>
      </c>
      <c r="Q936" s="227">
        <f t="shared" ref="Q936:Q939" si="316">M936*O936</f>
        <v>4.9015199999999997</v>
      </c>
      <c r="R936" s="226">
        <v>1</v>
      </c>
      <c r="S936" s="227">
        <f t="shared" si="309"/>
        <v>5.9</v>
      </c>
      <c r="T936" s="203" t="s">
        <v>48</v>
      </c>
      <c r="U936" s="183" t="str">
        <f t="shared" si="307"/>
        <v>5.9 Hrs</v>
      </c>
    </row>
    <row r="937" spans="3:21" s="172" customFormat="1" ht="20.25" customHeight="1">
      <c r="C937" s="185"/>
      <c r="D937" s="190">
        <f t="shared" si="291"/>
        <v>937</v>
      </c>
      <c r="E937" s="194" t="s">
        <v>316</v>
      </c>
      <c r="F937" s="198">
        <f t="shared" ref="F937:F939" si="317">D936</f>
        <v>936</v>
      </c>
      <c r="G937" s="193" t="s">
        <v>44</v>
      </c>
      <c r="H937" s="193"/>
      <c r="I937" s="211">
        <v>18</v>
      </c>
      <c r="J937" s="198" t="str">
        <f>J936</f>
        <v>1560 mm id</v>
      </c>
      <c r="K937" s="221">
        <v>1</v>
      </c>
      <c r="L937" s="195" t="s">
        <v>81</v>
      </c>
      <c r="M937" s="214">
        <f t="shared" ref="M937:M939" si="318">LEFT(J937,SEARCH(" ",J937,1)-1)*3.142*K937*0.001</f>
        <v>4.9015199999999997</v>
      </c>
      <c r="N937" s="195" t="s">
        <v>139</v>
      </c>
      <c r="O937" s="233">
        <f>VLOOKUP(I937,BM!$B$3:$Y$62,10,FALSE)</f>
        <v>1</v>
      </c>
      <c r="P937" s="195" t="s">
        <v>112</v>
      </c>
      <c r="Q937" s="227">
        <f t="shared" si="316"/>
        <v>4.9015199999999997</v>
      </c>
      <c r="R937" s="226">
        <v>1</v>
      </c>
      <c r="S937" s="227">
        <f t="shared" si="309"/>
        <v>5.9</v>
      </c>
      <c r="T937" s="203" t="s">
        <v>48</v>
      </c>
      <c r="U937" s="183" t="str">
        <f t="shared" si="307"/>
        <v>5.9 Hrs</v>
      </c>
    </row>
    <row r="938" spans="3:21" s="172" customFormat="1" ht="20.25" customHeight="1">
      <c r="C938" s="185"/>
      <c r="D938" s="190">
        <f t="shared" si="291"/>
        <v>938</v>
      </c>
      <c r="E938" s="194" t="s">
        <v>316</v>
      </c>
      <c r="F938" s="198">
        <f t="shared" si="317"/>
        <v>937</v>
      </c>
      <c r="G938" s="193" t="s">
        <v>44</v>
      </c>
      <c r="H938" s="193"/>
      <c r="I938" s="211">
        <v>18</v>
      </c>
      <c r="J938" s="198" t="str">
        <f>J937</f>
        <v>1560 mm id</v>
      </c>
      <c r="K938" s="221">
        <v>1</v>
      </c>
      <c r="L938" s="195" t="s">
        <v>81</v>
      </c>
      <c r="M938" s="214">
        <f t="shared" si="318"/>
        <v>4.9015199999999997</v>
      </c>
      <c r="N938" s="195" t="s">
        <v>139</v>
      </c>
      <c r="O938" s="233">
        <f>VLOOKUP(I938,BM!$B$3:$Y$62,10,FALSE)</f>
        <v>1</v>
      </c>
      <c r="P938" s="195" t="s">
        <v>112</v>
      </c>
      <c r="Q938" s="227">
        <f t="shared" si="316"/>
        <v>4.9015199999999997</v>
      </c>
      <c r="R938" s="226">
        <v>1</v>
      </c>
      <c r="S938" s="227">
        <f t="shared" si="309"/>
        <v>5.9</v>
      </c>
      <c r="T938" s="203" t="s">
        <v>48</v>
      </c>
      <c r="U938" s="183" t="str">
        <f t="shared" si="307"/>
        <v>5.9 Hrs</v>
      </c>
    </row>
    <row r="939" spans="3:21" s="172" customFormat="1" ht="20.25" customHeight="1">
      <c r="C939" s="185"/>
      <c r="D939" s="190">
        <f t="shared" si="291"/>
        <v>939</v>
      </c>
      <c r="E939" s="194" t="s">
        <v>316</v>
      </c>
      <c r="F939" s="198">
        <f t="shared" si="317"/>
        <v>938</v>
      </c>
      <c r="G939" s="193" t="s">
        <v>44</v>
      </c>
      <c r="H939" s="193"/>
      <c r="I939" s="211">
        <v>18</v>
      </c>
      <c r="J939" s="198" t="s">
        <v>318</v>
      </c>
      <c r="K939" s="221">
        <v>1</v>
      </c>
      <c r="L939" s="195" t="s">
        <v>81</v>
      </c>
      <c r="M939" s="214">
        <f t="shared" si="318"/>
        <v>0</v>
      </c>
      <c r="N939" s="195" t="s">
        <v>139</v>
      </c>
      <c r="O939" s="233">
        <f>VLOOKUP(I939,BM!$B$3:$Y$62,10,FALSE)</f>
        <v>1</v>
      </c>
      <c r="P939" s="195" t="s">
        <v>112</v>
      </c>
      <c r="Q939" s="227">
        <f t="shared" si="316"/>
        <v>0</v>
      </c>
      <c r="R939" s="226">
        <v>1</v>
      </c>
      <c r="S939" s="227">
        <f t="shared" si="309"/>
        <v>1</v>
      </c>
      <c r="T939" s="203" t="s">
        <v>48</v>
      </c>
      <c r="U939" s="183" t="str">
        <f t="shared" si="307"/>
        <v>1 Hrs</v>
      </c>
    </row>
    <row r="940" spans="3:21" s="172" customFormat="1" ht="20.25" customHeight="1">
      <c r="C940" s="185">
        <f>D940</f>
        <v>940</v>
      </c>
      <c r="D940" s="190">
        <f t="shared" si="291"/>
        <v>940</v>
      </c>
      <c r="E940" s="191" t="s">
        <v>319</v>
      </c>
      <c r="F940" s="197">
        <f>D935</f>
        <v>935</v>
      </c>
      <c r="G940" s="193"/>
      <c r="H940" s="193"/>
      <c r="I940" s="195"/>
      <c r="J940" s="195"/>
      <c r="K940" s="221"/>
      <c r="L940" s="195"/>
      <c r="M940" s="204"/>
      <c r="N940" s="195"/>
      <c r="O940" s="205"/>
      <c r="P940" s="195"/>
      <c r="Q940" s="227"/>
      <c r="R940" s="226"/>
      <c r="S940" s="227"/>
      <c r="T940" s="203"/>
      <c r="U940" s="183"/>
    </row>
    <row r="941" spans="3:21" s="172" customFormat="1" ht="20.25" customHeight="1">
      <c r="C941" s="185"/>
      <c r="D941" s="190">
        <f t="shared" si="291"/>
        <v>941</v>
      </c>
      <c r="E941" s="194" t="s">
        <v>320</v>
      </c>
      <c r="F941" s="198"/>
      <c r="G941" s="193" t="s">
        <v>299</v>
      </c>
      <c r="H941" s="193"/>
      <c r="I941" s="211">
        <v>18</v>
      </c>
      <c r="J941" s="198" t="str">
        <f>J938</f>
        <v>1560 mm id</v>
      </c>
      <c r="K941" s="221">
        <v>1</v>
      </c>
      <c r="L941" s="195" t="s">
        <v>81</v>
      </c>
      <c r="M941" s="214">
        <f t="shared" ref="M941:M942" si="319">LEFT(J941,SEARCH(" ",J941,1)-1)*3.142*K941*0.001</f>
        <v>4.9015199999999997</v>
      </c>
      <c r="N941" s="195" t="s">
        <v>139</v>
      </c>
      <c r="O941" s="233">
        <f>VLOOKUP(I941,BM!$B$3:$Y$62,10,FALSE)</f>
        <v>1</v>
      </c>
      <c r="P941" s="195" t="s">
        <v>112</v>
      </c>
      <c r="Q941" s="227">
        <f t="shared" ref="Q941:Q942" si="320">M941*O941</f>
        <v>4.9015199999999997</v>
      </c>
      <c r="R941" s="226">
        <v>1</v>
      </c>
      <c r="S941" s="227">
        <f t="shared" si="309"/>
        <v>5.9</v>
      </c>
      <c r="T941" s="203" t="s">
        <v>48</v>
      </c>
      <c r="U941" s="183" t="str">
        <f t="shared" si="307"/>
        <v>5.9 Hrs</v>
      </c>
    </row>
    <row r="942" spans="3:21" s="172" customFormat="1" ht="20.25" customHeight="1">
      <c r="C942" s="185"/>
      <c r="D942" s="190">
        <f t="shared" si="291"/>
        <v>942</v>
      </c>
      <c r="E942" s="194" t="s">
        <v>321</v>
      </c>
      <c r="F942" s="198">
        <f t="shared" ref="F942" si="321">D941</f>
        <v>941</v>
      </c>
      <c r="G942" s="193" t="s">
        <v>44</v>
      </c>
      <c r="H942" s="193"/>
      <c r="I942" s="211">
        <v>18</v>
      </c>
      <c r="J942" s="198" t="str">
        <f t="shared" ref="J942" si="322">J941</f>
        <v>1560 mm id</v>
      </c>
      <c r="K942" s="221">
        <v>1</v>
      </c>
      <c r="L942" s="195" t="s">
        <v>81</v>
      </c>
      <c r="M942" s="214">
        <f t="shared" si="319"/>
        <v>4.9015199999999997</v>
      </c>
      <c r="N942" s="195" t="s">
        <v>139</v>
      </c>
      <c r="O942" s="205">
        <v>1</v>
      </c>
      <c r="P942" s="195" t="s">
        <v>112</v>
      </c>
      <c r="Q942" s="227">
        <f t="shared" si="320"/>
        <v>4.9015199999999997</v>
      </c>
      <c r="R942" s="226">
        <v>1</v>
      </c>
      <c r="S942" s="227">
        <f t="shared" si="309"/>
        <v>5.9</v>
      </c>
      <c r="T942" s="203" t="s">
        <v>48</v>
      </c>
      <c r="U942" s="183" t="str">
        <f t="shared" si="307"/>
        <v>5.9 Hrs</v>
      </c>
    </row>
    <row r="943" spans="3:21" s="172" customFormat="1" ht="20.25" customHeight="1">
      <c r="C943" s="185">
        <f>D943</f>
        <v>943</v>
      </c>
      <c r="D943" s="190">
        <f t="shared" si="291"/>
        <v>943</v>
      </c>
      <c r="E943" s="191" t="s">
        <v>322</v>
      </c>
      <c r="F943" s="197">
        <f>D940</f>
        <v>940</v>
      </c>
      <c r="G943" s="193"/>
      <c r="H943" s="193"/>
      <c r="I943" s="195"/>
      <c r="J943" s="195"/>
      <c r="K943" s="221"/>
      <c r="L943" s="195"/>
      <c r="M943" s="204"/>
      <c r="N943" s="195"/>
      <c r="O943" s="205"/>
      <c r="P943" s="195"/>
      <c r="Q943" s="227"/>
      <c r="R943" s="226"/>
      <c r="S943" s="227"/>
      <c r="T943" s="203"/>
      <c r="U943" s="183"/>
    </row>
    <row r="944" spans="3:21" s="172" customFormat="1" ht="20.25" customHeight="1">
      <c r="C944" s="185"/>
      <c r="D944" s="190">
        <f t="shared" si="291"/>
        <v>944</v>
      </c>
      <c r="E944" s="194" t="s">
        <v>323</v>
      </c>
      <c r="F944" s="198"/>
      <c r="G944" s="193" t="s">
        <v>44</v>
      </c>
      <c r="H944" s="193"/>
      <c r="I944" s="211">
        <v>18</v>
      </c>
      <c r="J944" s="195" t="str">
        <f>J942</f>
        <v>1560 mm id</v>
      </c>
      <c r="K944" s="221">
        <v>1</v>
      </c>
      <c r="L944" s="195" t="s">
        <v>81</v>
      </c>
      <c r="M944" s="204">
        <v>1</v>
      </c>
      <c r="N944" s="195" t="s">
        <v>81</v>
      </c>
      <c r="O944" s="205">
        <v>1</v>
      </c>
      <c r="P944" s="195" t="s">
        <v>112</v>
      </c>
      <c r="Q944" s="227">
        <f t="shared" ref="Q944:Q948" si="323">M944*O944</f>
        <v>1</v>
      </c>
      <c r="R944" s="226">
        <v>1</v>
      </c>
      <c r="S944" s="227">
        <f t="shared" si="309"/>
        <v>2</v>
      </c>
      <c r="T944" s="203" t="s">
        <v>48</v>
      </c>
      <c r="U944" s="183" t="str">
        <f t="shared" si="307"/>
        <v>2 Hrs</v>
      </c>
    </row>
    <row r="945" spans="3:21" s="172" customFormat="1" ht="20.25" customHeight="1">
      <c r="C945" s="185"/>
      <c r="D945" s="190">
        <f t="shared" si="291"/>
        <v>945</v>
      </c>
      <c r="E945" s="194" t="s">
        <v>324</v>
      </c>
      <c r="F945" s="198">
        <f t="shared" ref="F945:F948" si="324">D944</f>
        <v>944</v>
      </c>
      <c r="G945" s="193" t="s">
        <v>115</v>
      </c>
      <c r="H945" s="193"/>
      <c r="I945" s="220">
        <f>12</f>
        <v>12</v>
      </c>
      <c r="J945" s="195" t="str">
        <f>J944</f>
        <v>1560 mm id</v>
      </c>
      <c r="K945" s="221">
        <v>1</v>
      </c>
      <c r="L945" s="195" t="s">
        <v>81</v>
      </c>
      <c r="M945" s="214">
        <f t="shared" ref="M945:M948" si="325">LEFT(J945,SEARCH(" ",J945,1)-1)*3.142*K945*0.001</f>
        <v>4.9015199999999997</v>
      </c>
      <c r="N945" s="195" t="s">
        <v>139</v>
      </c>
      <c r="O945" s="233">
        <f>VLOOKUP(I945,BM!$B$3:$Y$62,17,FALSE)</f>
        <v>2.5</v>
      </c>
      <c r="P945" s="195" t="s">
        <v>112</v>
      </c>
      <c r="Q945" s="227">
        <f t="shared" si="323"/>
        <v>12.253799999999998</v>
      </c>
      <c r="R945" s="226">
        <v>1</v>
      </c>
      <c r="S945" s="227">
        <f t="shared" si="309"/>
        <v>13.25</v>
      </c>
      <c r="T945" s="203" t="s">
        <v>48</v>
      </c>
      <c r="U945" s="183" t="str">
        <f t="shared" si="307"/>
        <v>13.25 Hrs</v>
      </c>
    </row>
    <row r="946" spans="3:21" s="172" customFormat="1" ht="20.25" customHeight="1">
      <c r="C946" s="185"/>
      <c r="D946" s="190">
        <f t="shared" si="291"/>
        <v>946</v>
      </c>
      <c r="E946" s="194" t="s">
        <v>325</v>
      </c>
      <c r="F946" s="198">
        <f t="shared" si="324"/>
        <v>945</v>
      </c>
      <c r="G946" s="193" t="s">
        <v>61</v>
      </c>
      <c r="H946" s="193"/>
      <c r="I946" s="220">
        <f>18</f>
        <v>18</v>
      </c>
      <c r="J946" s="195" t="str">
        <f>J945</f>
        <v>1560 mm id</v>
      </c>
      <c r="K946" s="221">
        <v>1</v>
      </c>
      <c r="L946" s="195" t="s">
        <v>81</v>
      </c>
      <c r="M946" s="214">
        <f t="shared" si="325"/>
        <v>4.9015199999999997</v>
      </c>
      <c r="N946" s="195" t="s">
        <v>139</v>
      </c>
      <c r="O946" s="233">
        <f>VLOOKUP(I946,BM!$B$3:$Y$62,18,FALSE)</f>
        <v>1</v>
      </c>
      <c r="P946" s="195" t="s">
        <v>112</v>
      </c>
      <c r="Q946" s="227">
        <f t="shared" si="323"/>
        <v>4.9015199999999997</v>
      </c>
      <c r="R946" s="226">
        <v>1</v>
      </c>
      <c r="S946" s="227">
        <f t="shared" si="309"/>
        <v>5.9</v>
      </c>
      <c r="T946" s="203" t="s">
        <v>48</v>
      </c>
      <c r="U946" s="183" t="str">
        <f t="shared" si="307"/>
        <v>5.9 Hrs</v>
      </c>
    </row>
    <row r="947" spans="3:21" s="172" customFormat="1" ht="20.25" customHeight="1">
      <c r="C947" s="185"/>
      <c r="D947" s="190">
        <f t="shared" si="291"/>
        <v>947</v>
      </c>
      <c r="E947" s="194" t="s">
        <v>326</v>
      </c>
      <c r="F947" s="198">
        <f t="shared" si="324"/>
        <v>946</v>
      </c>
      <c r="G947" s="193" t="s">
        <v>115</v>
      </c>
      <c r="H947" s="193"/>
      <c r="I947" s="211">
        <v>6</v>
      </c>
      <c r="J947" s="195" t="str">
        <f>J946</f>
        <v>1560 mm id</v>
      </c>
      <c r="K947" s="221">
        <v>1</v>
      </c>
      <c r="L947" s="195" t="s">
        <v>81</v>
      </c>
      <c r="M947" s="214">
        <f t="shared" si="325"/>
        <v>4.9015199999999997</v>
      </c>
      <c r="N947" s="195" t="s">
        <v>139</v>
      </c>
      <c r="O947" s="233">
        <f>VLOOKUP(I947,BM!$B$3:$Y$62,17,FALSE)</f>
        <v>0.9</v>
      </c>
      <c r="P947" s="195" t="s">
        <v>112</v>
      </c>
      <c r="Q947" s="227">
        <f t="shared" si="323"/>
        <v>4.4113679999999995</v>
      </c>
      <c r="R947" s="226">
        <v>1</v>
      </c>
      <c r="S947" s="227">
        <f t="shared" si="309"/>
        <v>5.41</v>
      </c>
      <c r="T947" s="203" t="s">
        <v>48</v>
      </c>
      <c r="U947" s="183" t="str">
        <f t="shared" si="307"/>
        <v>5.41 Hrs</v>
      </c>
    </row>
    <row r="948" spans="3:21" s="172" customFormat="1" ht="20.25" customHeight="1">
      <c r="C948" s="185"/>
      <c r="D948" s="190">
        <f t="shared" si="291"/>
        <v>948</v>
      </c>
      <c r="E948" s="194" t="s">
        <v>327</v>
      </c>
      <c r="F948" s="198">
        <f t="shared" si="324"/>
        <v>947</v>
      </c>
      <c r="G948" s="193" t="s">
        <v>61</v>
      </c>
      <c r="H948" s="193"/>
      <c r="I948" s="211">
        <v>18</v>
      </c>
      <c r="J948" s="195" t="str">
        <f>J947</f>
        <v>1560 mm id</v>
      </c>
      <c r="K948" s="221">
        <v>1</v>
      </c>
      <c r="L948" s="195" t="s">
        <v>81</v>
      </c>
      <c r="M948" s="214">
        <f t="shared" si="325"/>
        <v>4.9015199999999997</v>
      </c>
      <c r="N948" s="195" t="s">
        <v>139</v>
      </c>
      <c r="O948" s="233">
        <f>VLOOKUP(I948,BM!$B$3:$Y$62,20,FALSE)</f>
        <v>0.5</v>
      </c>
      <c r="P948" s="195" t="s">
        <v>112</v>
      </c>
      <c r="Q948" s="227">
        <f t="shared" si="323"/>
        <v>2.4507599999999998</v>
      </c>
      <c r="R948" s="226">
        <v>1</v>
      </c>
      <c r="S948" s="227">
        <f t="shared" si="309"/>
        <v>3.45</v>
      </c>
      <c r="T948" s="203" t="s">
        <v>48</v>
      </c>
      <c r="U948" s="183" t="str">
        <f t="shared" si="307"/>
        <v>3.45 Hrs</v>
      </c>
    </row>
    <row r="949" spans="3:21" s="172" customFormat="1" ht="20.25" customHeight="1">
      <c r="C949" s="185">
        <f>D949</f>
        <v>949</v>
      </c>
      <c r="D949" s="190">
        <f t="shared" si="291"/>
        <v>949</v>
      </c>
      <c r="E949" s="191" t="s">
        <v>328</v>
      </c>
      <c r="F949" s="197">
        <f>D943</f>
        <v>943</v>
      </c>
      <c r="G949" s="193"/>
      <c r="H949" s="193"/>
      <c r="I949" s="195"/>
      <c r="J949" s="195"/>
      <c r="K949" s="221"/>
      <c r="L949" s="195"/>
      <c r="M949" s="204"/>
      <c r="N949" s="195"/>
      <c r="O949" s="205"/>
      <c r="P949" s="195"/>
      <c r="Q949" s="227"/>
      <c r="R949" s="226"/>
      <c r="S949" s="227"/>
      <c r="T949" s="203"/>
      <c r="U949" s="183"/>
    </row>
    <row r="950" spans="3:21" s="172" customFormat="1" ht="20.25" customHeight="1">
      <c r="C950" s="185"/>
      <c r="D950" s="190">
        <f t="shared" si="291"/>
        <v>950</v>
      </c>
      <c r="E950" s="194" t="s">
        <v>329</v>
      </c>
      <c r="F950" s="198"/>
      <c r="G950" s="193" t="s">
        <v>299</v>
      </c>
      <c r="H950" s="193"/>
      <c r="I950" s="211">
        <v>18</v>
      </c>
      <c r="J950" s="195" t="str">
        <f>J948</f>
        <v>1560 mm id</v>
      </c>
      <c r="K950" s="221">
        <v>1</v>
      </c>
      <c r="L950" s="195" t="s">
        <v>81</v>
      </c>
      <c r="M950" s="214">
        <f t="shared" ref="M950:M951" si="326">LEFT(J950,SEARCH(" ",J950,1)-1)*3.142*K950*0.001</f>
        <v>4.9015199999999997</v>
      </c>
      <c r="N950" s="195" t="s">
        <v>139</v>
      </c>
      <c r="O950" s="233">
        <f>VLOOKUP(I950,BM!$B$3:$Y$62,10,FALSE)</f>
        <v>1</v>
      </c>
      <c r="P950" s="195" t="s">
        <v>112</v>
      </c>
      <c r="Q950" s="227">
        <f t="shared" ref="Q950:Q957" si="327">M950*O950</f>
        <v>4.9015199999999997</v>
      </c>
      <c r="R950" s="226">
        <v>1</v>
      </c>
      <c r="S950" s="227">
        <f t="shared" si="309"/>
        <v>5.9</v>
      </c>
      <c r="T950" s="203" t="s">
        <v>48</v>
      </c>
      <c r="U950" s="183" t="str">
        <f t="shared" si="307"/>
        <v>5.9 Hrs</v>
      </c>
    </row>
    <row r="951" spans="3:21" s="172" customFormat="1" ht="20.25" customHeight="1">
      <c r="C951" s="185"/>
      <c r="D951" s="190">
        <f t="shared" si="291"/>
        <v>951</v>
      </c>
      <c r="E951" s="194" t="s">
        <v>330</v>
      </c>
      <c r="F951" s="198">
        <f t="shared" ref="F951" si="328">D950</f>
        <v>950</v>
      </c>
      <c r="G951" s="193" t="s">
        <v>44</v>
      </c>
      <c r="H951" s="193"/>
      <c r="I951" s="211">
        <v>18</v>
      </c>
      <c r="J951" s="195" t="str">
        <f>J948</f>
        <v>1560 mm id</v>
      </c>
      <c r="K951" s="221">
        <v>1</v>
      </c>
      <c r="L951" s="195" t="s">
        <v>81</v>
      </c>
      <c r="M951" s="214">
        <f t="shared" si="326"/>
        <v>4.9015199999999997</v>
      </c>
      <c r="N951" s="195" t="s">
        <v>139</v>
      </c>
      <c r="O951" s="205">
        <v>1</v>
      </c>
      <c r="P951" s="195" t="s">
        <v>112</v>
      </c>
      <c r="Q951" s="227">
        <f t="shared" si="327"/>
        <v>4.9015199999999997</v>
      </c>
      <c r="R951" s="226">
        <v>1</v>
      </c>
      <c r="S951" s="227">
        <f t="shared" si="309"/>
        <v>5.9</v>
      </c>
      <c r="T951" s="203" t="s">
        <v>48</v>
      </c>
      <c r="U951" s="183" t="str">
        <f t="shared" si="307"/>
        <v>5.9 Hrs</v>
      </c>
    </row>
    <row r="952" spans="3:21" s="172" customFormat="1" ht="20.25" customHeight="1">
      <c r="C952" s="185">
        <f>D952</f>
        <v>952</v>
      </c>
      <c r="D952" s="190">
        <f t="shared" si="291"/>
        <v>952</v>
      </c>
      <c r="E952" s="191" t="s">
        <v>331</v>
      </c>
      <c r="F952" s="197">
        <f>D949</f>
        <v>949</v>
      </c>
      <c r="G952" s="193"/>
      <c r="H952" s="193"/>
      <c r="I952" s="195"/>
      <c r="J952" s="195"/>
      <c r="K952" s="221"/>
      <c r="L952" s="195"/>
      <c r="M952" s="204"/>
      <c r="N952" s="195"/>
      <c r="O952" s="205"/>
      <c r="P952" s="195"/>
      <c r="Q952" s="227">
        <f t="shared" si="327"/>
        <v>0</v>
      </c>
      <c r="R952" s="226"/>
      <c r="S952" s="227"/>
      <c r="T952" s="203"/>
      <c r="U952" s="183"/>
    </row>
    <row r="953" spans="3:21" s="172" customFormat="1" ht="20.25" customHeight="1">
      <c r="C953" s="185"/>
      <c r="D953" s="190">
        <f t="shared" si="291"/>
        <v>953</v>
      </c>
      <c r="E953" s="194" t="s">
        <v>332</v>
      </c>
      <c r="F953" s="198"/>
      <c r="G953" s="193" t="s">
        <v>44</v>
      </c>
      <c r="H953" s="193"/>
      <c r="I953" s="211">
        <v>18</v>
      </c>
      <c r="J953" s="195" t="str">
        <f>J948</f>
        <v>1560 mm id</v>
      </c>
      <c r="K953" s="221">
        <v>1</v>
      </c>
      <c r="L953" s="195" t="s">
        <v>81</v>
      </c>
      <c r="M953" s="204">
        <v>1</v>
      </c>
      <c r="N953" s="195" t="s">
        <v>139</v>
      </c>
      <c r="O953" s="205">
        <v>1</v>
      </c>
      <c r="P953" s="195" t="s">
        <v>112</v>
      </c>
      <c r="Q953" s="227">
        <f t="shared" si="327"/>
        <v>1</v>
      </c>
      <c r="R953" s="226">
        <v>1</v>
      </c>
      <c r="S953" s="227">
        <f t="shared" si="309"/>
        <v>2</v>
      </c>
      <c r="T953" s="203" t="s">
        <v>48</v>
      </c>
      <c r="U953" s="183" t="str">
        <f t="shared" si="307"/>
        <v>2 Hrs</v>
      </c>
    </row>
    <row r="954" spans="3:21" s="172" customFormat="1" ht="20.25" customHeight="1">
      <c r="C954" s="185"/>
      <c r="D954" s="190">
        <f t="shared" si="291"/>
        <v>954</v>
      </c>
      <c r="E954" s="194" t="s">
        <v>333</v>
      </c>
      <c r="F954" s="198">
        <f t="shared" ref="F954:F957" si="329">D953</f>
        <v>953</v>
      </c>
      <c r="G954" s="193" t="s">
        <v>115</v>
      </c>
      <c r="H954" s="193"/>
      <c r="I954" s="220">
        <f>12</f>
        <v>12</v>
      </c>
      <c r="J954" s="195" t="str">
        <f>J951</f>
        <v>1560 mm id</v>
      </c>
      <c r="K954" s="221">
        <v>1</v>
      </c>
      <c r="L954" s="195" t="s">
        <v>81</v>
      </c>
      <c r="M954" s="214">
        <f t="shared" ref="M954:M957" si="330">LEFT(J954,SEARCH(" ",J954,1)-1)*3.142*K954*0.001</f>
        <v>4.9015199999999997</v>
      </c>
      <c r="N954" s="195" t="s">
        <v>139</v>
      </c>
      <c r="O954" s="233">
        <f>VLOOKUP(I954,BM!$B$3:$Y$62,17,FALSE)</f>
        <v>2.5</v>
      </c>
      <c r="P954" s="195" t="s">
        <v>112</v>
      </c>
      <c r="Q954" s="227">
        <f t="shared" si="327"/>
        <v>12.253799999999998</v>
      </c>
      <c r="R954" s="226">
        <v>1</v>
      </c>
      <c r="S954" s="227">
        <f t="shared" si="309"/>
        <v>13.25</v>
      </c>
      <c r="T954" s="203" t="s">
        <v>48</v>
      </c>
      <c r="U954" s="183" t="str">
        <f t="shared" si="307"/>
        <v>13.25 Hrs</v>
      </c>
    </row>
    <row r="955" spans="3:21" s="172" customFormat="1" ht="20.25" customHeight="1">
      <c r="C955" s="185"/>
      <c r="D955" s="190">
        <f t="shared" si="291"/>
        <v>955</v>
      </c>
      <c r="E955" s="194" t="s">
        <v>334</v>
      </c>
      <c r="F955" s="198">
        <f t="shared" si="329"/>
        <v>954</v>
      </c>
      <c r="G955" s="193" t="s">
        <v>61</v>
      </c>
      <c r="H955" s="193"/>
      <c r="I955" s="220">
        <f>18</f>
        <v>18</v>
      </c>
      <c r="J955" s="195" t="str">
        <f>J954</f>
        <v>1560 mm id</v>
      </c>
      <c r="K955" s="221">
        <v>1</v>
      </c>
      <c r="L955" s="195" t="s">
        <v>81</v>
      </c>
      <c r="M955" s="214">
        <f t="shared" si="330"/>
        <v>4.9015199999999997</v>
      </c>
      <c r="N955" s="195" t="s">
        <v>139</v>
      </c>
      <c r="O955" s="233">
        <f>VLOOKUP(I955,BM!$B$3:$Y$62,18,FALSE)</f>
        <v>1</v>
      </c>
      <c r="P955" s="195" t="s">
        <v>112</v>
      </c>
      <c r="Q955" s="227">
        <f t="shared" si="327"/>
        <v>4.9015199999999997</v>
      </c>
      <c r="R955" s="226">
        <v>1</v>
      </c>
      <c r="S955" s="227">
        <f t="shared" si="309"/>
        <v>5.9</v>
      </c>
      <c r="T955" s="203" t="s">
        <v>48</v>
      </c>
      <c r="U955" s="183" t="str">
        <f t="shared" si="307"/>
        <v>5.9 Hrs</v>
      </c>
    </row>
    <row r="956" spans="3:21" s="172" customFormat="1" ht="20.25" customHeight="1">
      <c r="C956" s="185"/>
      <c r="D956" s="190">
        <f t="shared" si="291"/>
        <v>956</v>
      </c>
      <c r="E956" s="194" t="s">
        <v>335</v>
      </c>
      <c r="F956" s="198">
        <f t="shared" si="329"/>
        <v>955</v>
      </c>
      <c r="G956" s="193" t="s">
        <v>115</v>
      </c>
      <c r="H956" s="193"/>
      <c r="I956" s="211">
        <v>6</v>
      </c>
      <c r="J956" s="195" t="str">
        <f>J955</f>
        <v>1560 mm id</v>
      </c>
      <c r="K956" s="221">
        <v>1</v>
      </c>
      <c r="L956" s="195" t="s">
        <v>81</v>
      </c>
      <c r="M956" s="214">
        <f t="shared" si="330"/>
        <v>4.9015199999999997</v>
      </c>
      <c r="N956" s="195" t="s">
        <v>139</v>
      </c>
      <c r="O956" s="233">
        <f>VLOOKUP(I956,BM!$B$3:$Y$62,17,FALSE)</f>
        <v>0.9</v>
      </c>
      <c r="P956" s="195" t="s">
        <v>112</v>
      </c>
      <c r="Q956" s="227">
        <f t="shared" si="327"/>
        <v>4.4113679999999995</v>
      </c>
      <c r="R956" s="226">
        <v>1</v>
      </c>
      <c r="S956" s="227">
        <f t="shared" si="309"/>
        <v>5.41</v>
      </c>
      <c r="T956" s="203" t="s">
        <v>48</v>
      </c>
      <c r="U956" s="183" t="str">
        <f t="shared" si="307"/>
        <v>5.41 Hrs</v>
      </c>
    </row>
    <row r="957" spans="3:21" s="172" customFormat="1" ht="20.25" customHeight="1">
      <c r="C957" s="185"/>
      <c r="D957" s="190">
        <f t="shared" si="291"/>
        <v>957</v>
      </c>
      <c r="E957" s="194" t="s">
        <v>336</v>
      </c>
      <c r="F957" s="198">
        <f t="shared" si="329"/>
        <v>956</v>
      </c>
      <c r="G957" s="193" t="s">
        <v>61</v>
      </c>
      <c r="H957" s="193"/>
      <c r="I957" s="211">
        <v>18</v>
      </c>
      <c r="J957" s="195" t="str">
        <f>J956</f>
        <v>1560 mm id</v>
      </c>
      <c r="K957" s="221">
        <v>1</v>
      </c>
      <c r="L957" s="195" t="s">
        <v>81</v>
      </c>
      <c r="M957" s="214">
        <f t="shared" si="330"/>
        <v>4.9015199999999997</v>
      </c>
      <c r="N957" s="195" t="s">
        <v>139</v>
      </c>
      <c r="O957" s="233">
        <f>VLOOKUP(I957,BM!$B$3:$Y$62,20,FALSE)</f>
        <v>0.5</v>
      </c>
      <c r="P957" s="195" t="s">
        <v>112</v>
      </c>
      <c r="Q957" s="227">
        <f t="shared" si="327"/>
        <v>2.4507599999999998</v>
      </c>
      <c r="R957" s="226">
        <v>1</v>
      </c>
      <c r="S957" s="227">
        <f t="shared" si="309"/>
        <v>3.45</v>
      </c>
      <c r="T957" s="203" t="s">
        <v>48</v>
      </c>
      <c r="U957" s="183" t="str">
        <f t="shared" si="307"/>
        <v>3.45 Hrs</v>
      </c>
    </row>
    <row r="958" spans="3:21" s="172" customFormat="1" ht="20.25" customHeight="1">
      <c r="C958" s="185">
        <f>D958</f>
        <v>958</v>
      </c>
      <c r="D958" s="190">
        <f t="shared" si="291"/>
        <v>958</v>
      </c>
      <c r="E958" s="191" t="s">
        <v>337</v>
      </c>
      <c r="F958" s="197">
        <f>D952</f>
        <v>952</v>
      </c>
      <c r="G958" s="193"/>
      <c r="H958" s="193"/>
      <c r="I958" s="195"/>
      <c r="J958" s="195"/>
      <c r="K958" s="221"/>
      <c r="L958" s="195"/>
      <c r="M958" s="204"/>
      <c r="N958" s="195"/>
      <c r="O958" s="205"/>
      <c r="P958" s="195"/>
      <c r="Q958" s="227"/>
      <c r="R958" s="226"/>
      <c r="S958" s="227"/>
      <c r="T958" s="203"/>
      <c r="U958" s="183"/>
    </row>
    <row r="959" spans="3:21" s="172" customFormat="1" ht="20.25" customHeight="1">
      <c r="C959" s="185"/>
      <c r="D959" s="190">
        <f t="shared" si="291"/>
        <v>959</v>
      </c>
      <c r="E959" s="194" t="s">
        <v>338</v>
      </c>
      <c r="F959" s="198"/>
      <c r="G959" s="193" t="s">
        <v>299</v>
      </c>
      <c r="H959" s="193"/>
      <c r="I959" s="211">
        <v>18</v>
      </c>
      <c r="J959" s="195" t="str">
        <f>J957</f>
        <v>1560 mm id</v>
      </c>
      <c r="K959" s="221">
        <v>1</v>
      </c>
      <c r="L959" s="195" t="s">
        <v>81</v>
      </c>
      <c r="M959" s="214">
        <f t="shared" ref="M959:M960" si="331">LEFT(J959,SEARCH(" ",J959,1)-1)*3.142*K959*0.001</f>
        <v>4.9015199999999997</v>
      </c>
      <c r="N959" s="195" t="s">
        <v>139</v>
      </c>
      <c r="O959" s="233">
        <f>VLOOKUP(I959,BM!$B$3:$Y$62,10,FALSE)</f>
        <v>1</v>
      </c>
      <c r="P959" s="195" t="s">
        <v>112</v>
      </c>
      <c r="Q959" s="227">
        <f t="shared" ref="Q959:Q960" si="332">M959*O959</f>
        <v>4.9015199999999997</v>
      </c>
      <c r="R959" s="226">
        <v>1</v>
      </c>
      <c r="S959" s="227">
        <f t="shared" si="309"/>
        <v>5.9</v>
      </c>
      <c r="T959" s="203" t="s">
        <v>48</v>
      </c>
      <c r="U959" s="183" t="str">
        <f t="shared" si="307"/>
        <v>5.9 Hrs</v>
      </c>
    </row>
    <row r="960" spans="3:21" s="172" customFormat="1" ht="20.25" customHeight="1">
      <c r="C960" s="185"/>
      <c r="D960" s="190">
        <f t="shared" si="291"/>
        <v>960</v>
      </c>
      <c r="E960" s="194" t="s">
        <v>339</v>
      </c>
      <c r="F960" s="198">
        <f t="shared" ref="F960" si="333">D959</f>
        <v>959</v>
      </c>
      <c r="G960" s="193" t="s">
        <v>44</v>
      </c>
      <c r="H960" s="193"/>
      <c r="I960" s="211">
        <v>18</v>
      </c>
      <c r="J960" s="195" t="str">
        <f>J957</f>
        <v>1560 mm id</v>
      </c>
      <c r="K960" s="221">
        <v>1</v>
      </c>
      <c r="L960" s="195" t="s">
        <v>81</v>
      </c>
      <c r="M960" s="214">
        <f t="shared" si="331"/>
        <v>4.9015199999999997</v>
      </c>
      <c r="N960" s="195" t="s">
        <v>139</v>
      </c>
      <c r="O960" s="205">
        <v>1</v>
      </c>
      <c r="P960" s="195" t="s">
        <v>112</v>
      </c>
      <c r="Q960" s="227">
        <f t="shared" si="332"/>
        <v>4.9015199999999997</v>
      </c>
      <c r="R960" s="226">
        <v>1</v>
      </c>
      <c r="S960" s="227">
        <f t="shared" si="309"/>
        <v>5.9</v>
      </c>
      <c r="T960" s="203" t="s">
        <v>48</v>
      </c>
      <c r="U960" s="183" t="str">
        <f t="shared" si="307"/>
        <v>5.9 Hrs</v>
      </c>
    </row>
    <row r="961" spans="3:21" s="172" customFormat="1" ht="20.25" customHeight="1">
      <c r="C961" s="185">
        <f>D961</f>
        <v>961</v>
      </c>
      <c r="D961" s="190">
        <f t="shared" si="291"/>
        <v>961</v>
      </c>
      <c r="E961" s="191" t="s">
        <v>340</v>
      </c>
      <c r="F961" s="197">
        <f>D958</f>
        <v>958</v>
      </c>
      <c r="G961" s="193"/>
      <c r="H961" s="193"/>
      <c r="I961" s="195"/>
      <c r="J961" s="195"/>
      <c r="K961" s="221"/>
      <c r="L961" s="195"/>
      <c r="M961" s="204"/>
      <c r="N961" s="195"/>
      <c r="O961" s="205"/>
      <c r="P961" s="195"/>
      <c r="Q961" s="227"/>
      <c r="R961" s="226"/>
      <c r="S961" s="227"/>
      <c r="T961" s="203"/>
      <c r="U961" s="183"/>
    </row>
    <row r="962" spans="3:21" s="172" customFormat="1" ht="20.25" customHeight="1">
      <c r="C962" s="185"/>
      <c r="D962" s="190">
        <f t="shared" si="291"/>
        <v>962</v>
      </c>
      <c r="E962" s="194" t="s">
        <v>341</v>
      </c>
      <c r="F962" s="198"/>
      <c r="G962" s="193" t="s">
        <v>44</v>
      </c>
      <c r="H962" s="193"/>
      <c r="I962" s="211">
        <v>18</v>
      </c>
      <c r="J962" s="195" t="str">
        <f>J960</f>
        <v>1560 mm id</v>
      </c>
      <c r="K962" s="221">
        <v>1</v>
      </c>
      <c r="L962" s="195" t="s">
        <v>81</v>
      </c>
      <c r="M962" s="204">
        <v>1</v>
      </c>
      <c r="N962" s="195" t="s">
        <v>139</v>
      </c>
      <c r="O962" s="205">
        <v>1</v>
      </c>
      <c r="P962" s="195" t="s">
        <v>112</v>
      </c>
      <c r="Q962" s="227">
        <f t="shared" ref="Q962:Q966" si="334">M962*O962</f>
        <v>1</v>
      </c>
      <c r="R962" s="226">
        <v>1</v>
      </c>
      <c r="S962" s="227">
        <f t="shared" si="309"/>
        <v>2</v>
      </c>
      <c r="T962" s="203" t="s">
        <v>48</v>
      </c>
      <c r="U962" s="183" t="str">
        <f t="shared" si="307"/>
        <v>2 Hrs</v>
      </c>
    </row>
    <row r="963" spans="3:21" s="172" customFormat="1" ht="20.25" customHeight="1">
      <c r="C963" s="185"/>
      <c r="D963" s="190">
        <f t="shared" ref="D963:D1026" si="335">D962+1</f>
        <v>963</v>
      </c>
      <c r="E963" s="194" t="s">
        <v>342</v>
      </c>
      <c r="F963" s="198">
        <f t="shared" ref="F963:F966" si="336">D962</f>
        <v>962</v>
      </c>
      <c r="G963" s="193" t="s">
        <v>115</v>
      </c>
      <c r="H963" s="193"/>
      <c r="I963" s="220">
        <f>12</f>
        <v>12</v>
      </c>
      <c r="J963" s="195" t="str">
        <f>J962</f>
        <v>1560 mm id</v>
      </c>
      <c r="K963" s="221">
        <v>1</v>
      </c>
      <c r="L963" s="195" t="s">
        <v>81</v>
      </c>
      <c r="M963" s="214">
        <f t="shared" ref="M963:M966" si="337">LEFT(J963,SEARCH(" ",J963,1)-1)*3.142*K963*0.001</f>
        <v>4.9015199999999997</v>
      </c>
      <c r="N963" s="195" t="s">
        <v>139</v>
      </c>
      <c r="O963" s="233">
        <f>VLOOKUP(I963,BM!$B$3:$Y$62,17,FALSE)</f>
        <v>2.5</v>
      </c>
      <c r="P963" s="195" t="s">
        <v>112</v>
      </c>
      <c r="Q963" s="227">
        <f t="shared" si="334"/>
        <v>12.253799999999998</v>
      </c>
      <c r="R963" s="226">
        <v>1</v>
      </c>
      <c r="S963" s="227">
        <f t="shared" si="309"/>
        <v>13.25</v>
      </c>
      <c r="T963" s="203" t="s">
        <v>48</v>
      </c>
      <c r="U963" s="183" t="str">
        <f t="shared" si="307"/>
        <v>13.25 Hrs</v>
      </c>
    </row>
    <row r="964" spans="3:21" s="172" customFormat="1" ht="20.25" customHeight="1">
      <c r="C964" s="185"/>
      <c r="D964" s="190">
        <f t="shared" si="335"/>
        <v>964</v>
      </c>
      <c r="E964" s="194" t="s">
        <v>343</v>
      </c>
      <c r="F964" s="198">
        <f t="shared" si="336"/>
        <v>963</v>
      </c>
      <c r="G964" s="193" t="s">
        <v>61</v>
      </c>
      <c r="H964" s="193"/>
      <c r="I964" s="220">
        <f>18</f>
        <v>18</v>
      </c>
      <c r="J964" s="195" t="str">
        <f>J963</f>
        <v>1560 mm id</v>
      </c>
      <c r="K964" s="221">
        <v>1</v>
      </c>
      <c r="L964" s="195" t="s">
        <v>81</v>
      </c>
      <c r="M964" s="214">
        <f t="shared" si="337"/>
        <v>4.9015199999999997</v>
      </c>
      <c r="N964" s="195" t="s">
        <v>139</v>
      </c>
      <c r="O964" s="233">
        <f>VLOOKUP(I964,BM!$B$3:$Y$62,18,FALSE)</f>
        <v>1</v>
      </c>
      <c r="P964" s="195" t="s">
        <v>112</v>
      </c>
      <c r="Q964" s="227">
        <f t="shared" si="334"/>
        <v>4.9015199999999997</v>
      </c>
      <c r="R964" s="226">
        <v>1</v>
      </c>
      <c r="S964" s="227">
        <f t="shared" si="309"/>
        <v>5.9</v>
      </c>
      <c r="T964" s="203" t="s">
        <v>48</v>
      </c>
      <c r="U964" s="183" t="str">
        <f t="shared" si="307"/>
        <v>5.9 Hrs</v>
      </c>
    </row>
    <row r="965" spans="3:21" s="172" customFormat="1" ht="20.25" customHeight="1">
      <c r="C965" s="185"/>
      <c r="D965" s="190">
        <f t="shared" si="335"/>
        <v>965</v>
      </c>
      <c r="E965" s="194" t="s">
        <v>344</v>
      </c>
      <c r="F965" s="198">
        <f t="shared" si="336"/>
        <v>964</v>
      </c>
      <c r="G965" s="193" t="s">
        <v>115</v>
      </c>
      <c r="H965" s="193"/>
      <c r="I965" s="211">
        <v>6</v>
      </c>
      <c r="J965" s="195" t="str">
        <f>J964</f>
        <v>1560 mm id</v>
      </c>
      <c r="K965" s="221">
        <v>1</v>
      </c>
      <c r="L965" s="195" t="s">
        <v>81</v>
      </c>
      <c r="M965" s="214">
        <f t="shared" si="337"/>
        <v>4.9015199999999997</v>
      </c>
      <c r="N965" s="195" t="s">
        <v>139</v>
      </c>
      <c r="O965" s="233">
        <f>VLOOKUP(I965,BM!$B$3:$Y$62,17,FALSE)</f>
        <v>0.9</v>
      </c>
      <c r="P965" s="195" t="s">
        <v>112</v>
      </c>
      <c r="Q965" s="227">
        <f t="shared" si="334"/>
        <v>4.4113679999999995</v>
      </c>
      <c r="R965" s="226">
        <v>1</v>
      </c>
      <c r="S965" s="227">
        <f t="shared" si="309"/>
        <v>5.41</v>
      </c>
      <c r="T965" s="203" t="s">
        <v>48</v>
      </c>
      <c r="U965" s="183" t="str">
        <f t="shared" si="307"/>
        <v>5.41 Hrs</v>
      </c>
    </row>
    <row r="966" spans="3:21" s="172" customFormat="1" ht="20.25" customHeight="1">
      <c r="C966" s="185"/>
      <c r="D966" s="190">
        <f t="shared" si="335"/>
        <v>966</v>
      </c>
      <c r="E966" s="194" t="s">
        <v>345</v>
      </c>
      <c r="F966" s="198">
        <f t="shared" si="336"/>
        <v>965</v>
      </c>
      <c r="G966" s="193" t="s">
        <v>61</v>
      </c>
      <c r="H966" s="193"/>
      <c r="I966" s="211">
        <v>18</v>
      </c>
      <c r="J966" s="195" t="str">
        <f>J965</f>
        <v>1560 mm id</v>
      </c>
      <c r="K966" s="221">
        <v>1</v>
      </c>
      <c r="L966" s="195" t="s">
        <v>81</v>
      </c>
      <c r="M966" s="214">
        <f t="shared" si="337"/>
        <v>4.9015199999999997</v>
      </c>
      <c r="N966" s="195" t="s">
        <v>139</v>
      </c>
      <c r="O966" s="233">
        <f>VLOOKUP(I966,BM!$B$3:$Y$62,20,FALSE)</f>
        <v>0.5</v>
      </c>
      <c r="P966" s="195" t="s">
        <v>112</v>
      </c>
      <c r="Q966" s="227">
        <f t="shared" si="334"/>
        <v>2.4507599999999998</v>
      </c>
      <c r="R966" s="226">
        <v>1</v>
      </c>
      <c r="S966" s="227">
        <f t="shared" si="309"/>
        <v>3.45</v>
      </c>
      <c r="T966" s="203" t="s">
        <v>48</v>
      </c>
      <c r="U966" s="183" t="str">
        <f t="shared" si="307"/>
        <v>3.45 Hrs</v>
      </c>
    </row>
    <row r="967" spans="3:21" s="172" customFormat="1" ht="20.25" customHeight="1">
      <c r="C967" s="185">
        <f>D967</f>
        <v>967</v>
      </c>
      <c r="D967" s="190">
        <f t="shared" si="335"/>
        <v>967</v>
      </c>
      <c r="E967" s="191" t="s">
        <v>346</v>
      </c>
      <c r="F967" s="197">
        <f>D961</f>
        <v>961</v>
      </c>
      <c r="G967" s="193"/>
      <c r="H967" s="193"/>
      <c r="I967" s="195"/>
      <c r="J967" s="195"/>
      <c r="K967" s="221"/>
      <c r="L967" s="195"/>
      <c r="M967" s="204"/>
      <c r="N967" s="195"/>
      <c r="O967" s="205"/>
      <c r="P967" s="195"/>
      <c r="Q967" s="227"/>
      <c r="R967" s="226"/>
      <c r="S967" s="227"/>
      <c r="T967" s="203"/>
      <c r="U967" s="183"/>
    </row>
    <row r="968" spans="3:21" s="172" customFormat="1" ht="20.25" customHeight="1">
      <c r="C968" s="185"/>
      <c r="D968" s="190">
        <f t="shared" si="335"/>
        <v>968</v>
      </c>
      <c r="E968" s="194" t="s">
        <v>347</v>
      </c>
      <c r="F968" s="198"/>
      <c r="G968" s="193" t="s">
        <v>348</v>
      </c>
      <c r="H968" s="193"/>
      <c r="I968" s="211">
        <v>18</v>
      </c>
      <c r="J968" s="195" t="str">
        <f>J966</f>
        <v>1560 mm id</v>
      </c>
      <c r="K968" s="221">
        <v>1</v>
      </c>
      <c r="L968" s="195" t="s">
        <v>39</v>
      </c>
      <c r="M968" s="204">
        <v>1</v>
      </c>
      <c r="N968" s="195" t="s">
        <v>39</v>
      </c>
      <c r="O968" s="205">
        <v>4</v>
      </c>
      <c r="P968" s="195" t="s">
        <v>112</v>
      </c>
      <c r="Q968" s="227">
        <f t="shared" ref="Q968:Q970" si="338">M968*O968</f>
        <v>4</v>
      </c>
      <c r="R968" s="226">
        <v>1</v>
      </c>
      <c r="S968" s="227">
        <f t="shared" si="309"/>
        <v>5</v>
      </c>
      <c r="T968" s="203" t="s">
        <v>48</v>
      </c>
      <c r="U968" s="183" t="str">
        <f t="shared" si="307"/>
        <v>5 Hrs</v>
      </c>
    </row>
    <row r="969" spans="3:21" s="172" customFormat="1" ht="20.25" customHeight="1">
      <c r="C969" s="185"/>
      <c r="D969" s="190">
        <f t="shared" si="335"/>
        <v>969</v>
      </c>
      <c r="E969" s="194" t="s">
        <v>349</v>
      </c>
      <c r="F969" s="198">
        <f t="shared" ref="F969:F970" si="339">D968</f>
        <v>968</v>
      </c>
      <c r="G969" s="193" t="s">
        <v>52</v>
      </c>
      <c r="H969" s="193"/>
      <c r="I969" s="211">
        <v>18</v>
      </c>
      <c r="J969" s="195" t="str">
        <f>J968</f>
        <v>1560 mm id</v>
      </c>
      <c r="K969" s="221">
        <v>1</v>
      </c>
      <c r="L969" s="195" t="s">
        <v>39</v>
      </c>
      <c r="M969" s="214">
        <f t="shared" ref="M969:M970" si="340">LEFT(J969,SEARCH(" ",J969,1)-1)*3.142*K969*0.001</f>
        <v>4.9015199999999997</v>
      </c>
      <c r="N969" s="195" t="s">
        <v>139</v>
      </c>
      <c r="O969" s="233">
        <f>VLOOKUP(I969,BM!$B$3:$Y$62,5,FALSE)</f>
        <v>0.5</v>
      </c>
      <c r="P969" s="195" t="s">
        <v>112</v>
      </c>
      <c r="Q969" s="227">
        <f t="shared" si="338"/>
        <v>2.4507599999999998</v>
      </c>
      <c r="R969" s="226">
        <v>1</v>
      </c>
      <c r="S969" s="227">
        <f t="shared" si="309"/>
        <v>3.45</v>
      </c>
      <c r="T969" s="203" t="s">
        <v>48</v>
      </c>
      <c r="U969" s="183" t="str">
        <f t="shared" si="307"/>
        <v>3.45 Hrs</v>
      </c>
    </row>
    <row r="970" spans="3:21" s="172" customFormat="1" ht="20.25" customHeight="1">
      <c r="C970" s="185"/>
      <c r="D970" s="190">
        <f t="shared" si="335"/>
        <v>970</v>
      </c>
      <c r="E970" s="194" t="s">
        <v>350</v>
      </c>
      <c r="F970" s="198">
        <f t="shared" si="339"/>
        <v>969</v>
      </c>
      <c r="G970" s="193" t="s">
        <v>121</v>
      </c>
      <c r="H970" s="193"/>
      <c r="I970" s="211">
        <v>18</v>
      </c>
      <c r="J970" s="195" t="str">
        <f>J969</f>
        <v>1560 mm id</v>
      </c>
      <c r="K970" s="221">
        <v>1</v>
      </c>
      <c r="L970" s="195" t="s">
        <v>39</v>
      </c>
      <c r="M970" s="214">
        <f t="shared" si="340"/>
        <v>4.9015199999999997</v>
      </c>
      <c r="N970" s="195" t="s">
        <v>139</v>
      </c>
      <c r="O970" s="233">
        <f>VLOOKUP(I970,BM!$B$3:$Y$62,5,FALSE)</f>
        <v>0.5</v>
      </c>
      <c r="P970" s="195" t="s">
        <v>112</v>
      </c>
      <c r="Q970" s="227">
        <f t="shared" si="338"/>
        <v>2.4507599999999998</v>
      </c>
      <c r="R970" s="226">
        <v>1</v>
      </c>
      <c r="S970" s="227">
        <f t="shared" si="309"/>
        <v>3.45</v>
      </c>
      <c r="T970" s="203" t="s">
        <v>48</v>
      </c>
      <c r="U970" s="183" t="str">
        <f t="shared" si="307"/>
        <v>3.45 Hrs</v>
      </c>
    </row>
    <row r="971" spans="3:21" s="172" customFormat="1" ht="20.25" customHeight="1">
      <c r="C971" s="185">
        <f>D971</f>
        <v>971</v>
      </c>
      <c r="D971" s="190">
        <f t="shared" si="335"/>
        <v>971</v>
      </c>
      <c r="E971" s="191" t="s">
        <v>351</v>
      </c>
      <c r="F971" s="197">
        <f>D967</f>
        <v>967</v>
      </c>
      <c r="G971" s="193"/>
      <c r="H971" s="193"/>
      <c r="I971" s="195"/>
      <c r="J971" s="195"/>
      <c r="K971" s="221"/>
      <c r="L971" s="195"/>
      <c r="M971" s="204"/>
      <c r="N971" s="195"/>
      <c r="O971" s="205"/>
      <c r="P971" s="195"/>
      <c r="Q971" s="227"/>
      <c r="R971" s="226"/>
      <c r="S971" s="227"/>
      <c r="T971" s="203"/>
      <c r="U971" s="183"/>
    </row>
    <row r="972" spans="3:21" s="172" customFormat="1" ht="20.25" customHeight="1">
      <c r="C972" s="185"/>
      <c r="D972" s="190">
        <f t="shared" si="335"/>
        <v>972</v>
      </c>
      <c r="E972" s="194" t="s">
        <v>352</v>
      </c>
      <c r="F972" s="198"/>
      <c r="G972" s="193" t="s">
        <v>299</v>
      </c>
      <c r="H972" s="193"/>
      <c r="I972" s="211">
        <v>18</v>
      </c>
      <c r="J972" s="195" t="str">
        <f>J970</f>
        <v>1560 mm id</v>
      </c>
      <c r="K972" s="221">
        <v>1</v>
      </c>
      <c r="L972" s="195" t="s">
        <v>81</v>
      </c>
      <c r="M972" s="214">
        <f t="shared" ref="M972:M973" si="341">LEFT(J972,SEARCH(" ",J972,1)-1)*3.142*K972*0.001</f>
        <v>4.9015199999999997</v>
      </c>
      <c r="N972" s="195" t="s">
        <v>139</v>
      </c>
      <c r="O972" s="233">
        <f>VLOOKUP(I972,BM!$B$3:$Y$62,10,FALSE)</f>
        <v>1</v>
      </c>
      <c r="P972" s="195" t="s">
        <v>112</v>
      </c>
      <c r="Q972" s="227">
        <f t="shared" ref="Q972:Q973" si="342">M972*O972</f>
        <v>4.9015199999999997</v>
      </c>
      <c r="R972" s="226">
        <v>1</v>
      </c>
      <c r="S972" s="227">
        <f t="shared" si="309"/>
        <v>5.9</v>
      </c>
      <c r="T972" s="203" t="s">
        <v>48</v>
      </c>
      <c r="U972" s="183" t="str">
        <f t="shared" si="307"/>
        <v>5.9 Hrs</v>
      </c>
    </row>
    <row r="973" spans="3:21" s="172" customFormat="1" ht="20.25" customHeight="1">
      <c r="C973" s="185"/>
      <c r="D973" s="190">
        <f t="shared" si="335"/>
        <v>973</v>
      </c>
      <c r="E973" s="194" t="s">
        <v>353</v>
      </c>
      <c r="F973" s="198">
        <f t="shared" ref="F973" si="343">D972</f>
        <v>972</v>
      </c>
      <c r="G973" s="193" t="s">
        <v>44</v>
      </c>
      <c r="H973" s="193"/>
      <c r="I973" s="211">
        <v>18</v>
      </c>
      <c r="J973" s="195" t="str">
        <f>J970</f>
        <v>1560 mm id</v>
      </c>
      <c r="K973" s="221">
        <v>1</v>
      </c>
      <c r="L973" s="195" t="s">
        <v>81</v>
      </c>
      <c r="M973" s="214">
        <f t="shared" si="341"/>
        <v>4.9015199999999997</v>
      </c>
      <c r="N973" s="195" t="s">
        <v>139</v>
      </c>
      <c r="O973" s="205">
        <v>1</v>
      </c>
      <c r="P973" s="195" t="s">
        <v>112</v>
      </c>
      <c r="Q973" s="227">
        <f t="shared" si="342"/>
        <v>4.9015199999999997</v>
      </c>
      <c r="R973" s="226">
        <v>1</v>
      </c>
      <c r="S973" s="227">
        <f t="shared" si="309"/>
        <v>5.9</v>
      </c>
      <c r="T973" s="203" t="s">
        <v>48</v>
      </c>
      <c r="U973" s="183" t="str">
        <f t="shared" si="307"/>
        <v>5.9 Hrs</v>
      </c>
    </row>
    <row r="974" spans="3:21" s="172" customFormat="1" ht="20.25" customHeight="1">
      <c r="C974" s="185">
        <f>D974</f>
        <v>974</v>
      </c>
      <c r="D974" s="190">
        <f t="shared" si="335"/>
        <v>974</v>
      </c>
      <c r="E974" s="191" t="s">
        <v>354</v>
      </c>
      <c r="F974" s="197">
        <f>D971</f>
        <v>971</v>
      </c>
      <c r="G974" s="193"/>
      <c r="H974" s="193"/>
      <c r="I974" s="195"/>
      <c r="J974" s="195"/>
      <c r="K974" s="221"/>
      <c r="L974" s="195"/>
      <c r="M974" s="204"/>
      <c r="N974" s="195"/>
      <c r="O974" s="205"/>
      <c r="P974" s="195"/>
      <c r="Q974" s="227"/>
      <c r="R974" s="226"/>
      <c r="S974" s="227"/>
      <c r="T974" s="203"/>
      <c r="U974" s="183"/>
    </row>
    <row r="975" spans="3:21" s="172" customFormat="1" ht="20.25" customHeight="1">
      <c r="C975" s="185"/>
      <c r="D975" s="190">
        <f t="shared" si="335"/>
        <v>975</v>
      </c>
      <c r="E975" s="194" t="s">
        <v>323</v>
      </c>
      <c r="F975" s="198">
        <f t="shared" ref="F975:F979" si="344">D974</f>
        <v>974</v>
      </c>
      <c r="G975" s="193" t="s">
        <v>44</v>
      </c>
      <c r="H975" s="193"/>
      <c r="I975" s="211">
        <v>12</v>
      </c>
      <c r="J975" s="195" t="str">
        <f>J973</f>
        <v>1560 mm id</v>
      </c>
      <c r="K975" s="221">
        <v>1</v>
      </c>
      <c r="L975" s="195" t="s">
        <v>81</v>
      </c>
      <c r="M975" s="204">
        <v>1</v>
      </c>
      <c r="N975" s="195" t="s">
        <v>139</v>
      </c>
      <c r="O975" s="205">
        <v>1</v>
      </c>
      <c r="P975" s="195" t="s">
        <v>112</v>
      </c>
      <c r="Q975" s="227">
        <f t="shared" ref="Q975:Q979" si="345">M975*O975</f>
        <v>1</v>
      </c>
      <c r="R975" s="226">
        <v>1</v>
      </c>
      <c r="S975" s="227">
        <f t="shared" si="309"/>
        <v>2</v>
      </c>
      <c r="T975" s="203" t="s">
        <v>48</v>
      </c>
      <c r="U975" s="183" t="str">
        <f t="shared" si="307"/>
        <v>2 Hrs</v>
      </c>
    </row>
    <row r="976" spans="3:21" s="172" customFormat="1" ht="20.25" customHeight="1">
      <c r="C976" s="185"/>
      <c r="D976" s="190">
        <f t="shared" si="335"/>
        <v>976</v>
      </c>
      <c r="E976" s="194" t="s">
        <v>355</v>
      </c>
      <c r="F976" s="198"/>
      <c r="G976" s="193" t="s">
        <v>115</v>
      </c>
      <c r="H976" s="193"/>
      <c r="I976" s="211">
        <v>12</v>
      </c>
      <c r="J976" s="195" t="str">
        <f>J975</f>
        <v>1560 mm id</v>
      </c>
      <c r="K976" s="221">
        <v>1</v>
      </c>
      <c r="L976" s="195" t="s">
        <v>81</v>
      </c>
      <c r="M976" s="214">
        <f t="shared" ref="M976:M979" si="346">LEFT(J976,SEARCH(" ",J976,1)-1)*3.142*K976*0.001</f>
        <v>4.9015199999999997</v>
      </c>
      <c r="N976" s="195" t="s">
        <v>139</v>
      </c>
      <c r="O976" s="233">
        <f>VLOOKUP(I976,BM!$B$3:$Y$62,17,FALSE)</f>
        <v>2.5</v>
      </c>
      <c r="P976" s="195" t="s">
        <v>112</v>
      </c>
      <c r="Q976" s="227">
        <f t="shared" si="345"/>
        <v>12.253799999999998</v>
      </c>
      <c r="R976" s="226">
        <v>1</v>
      </c>
      <c r="S976" s="227">
        <f t="shared" si="309"/>
        <v>13.25</v>
      </c>
      <c r="T976" s="203" t="s">
        <v>48</v>
      </c>
      <c r="U976" s="183" t="str">
        <f t="shared" si="307"/>
        <v>13.25 Hrs</v>
      </c>
    </row>
    <row r="977" spans="3:21" s="172" customFormat="1" ht="20.25" customHeight="1">
      <c r="C977" s="185"/>
      <c r="D977" s="190">
        <f t="shared" si="335"/>
        <v>977</v>
      </c>
      <c r="E977" s="194" t="s">
        <v>356</v>
      </c>
      <c r="F977" s="198">
        <f t="shared" si="344"/>
        <v>976</v>
      </c>
      <c r="G977" s="193" t="s">
        <v>61</v>
      </c>
      <c r="H977" s="193"/>
      <c r="I977" s="211">
        <v>18</v>
      </c>
      <c r="J977" s="195" t="str">
        <f>J976</f>
        <v>1560 mm id</v>
      </c>
      <c r="K977" s="221">
        <v>1</v>
      </c>
      <c r="L977" s="195" t="s">
        <v>81</v>
      </c>
      <c r="M977" s="214">
        <f t="shared" si="346"/>
        <v>4.9015199999999997</v>
      </c>
      <c r="N977" s="195" t="s">
        <v>139</v>
      </c>
      <c r="O977" s="233">
        <f>VLOOKUP(I977,BM!$B$3:$Y$62,18,FALSE)</f>
        <v>1</v>
      </c>
      <c r="P977" s="195" t="s">
        <v>112</v>
      </c>
      <c r="Q977" s="227">
        <f t="shared" si="345"/>
        <v>4.9015199999999997</v>
      </c>
      <c r="R977" s="226">
        <v>1</v>
      </c>
      <c r="S977" s="227">
        <f t="shared" si="309"/>
        <v>5.9</v>
      </c>
      <c r="T977" s="203" t="s">
        <v>48</v>
      </c>
      <c r="U977" s="183" t="str">
        <f t="shared" si="307"/>
        <v>5.9 Hrs</v>
      </c>
    </row>
    <row r="978" spans="3:21" s="172" customFormat="1" ht="20.25" customHeight="1">
      <c r="C978" s="185"/>
      <c r="D978" s="190">
        <f t="shared" si="335"/>
        <v>978</v>
      </c>
      <c r="E978" s="194" t="s">
        <v>357</v>
      </c>
      <c r="F978" s="198">
        <f t="shared" si="344"/>
        <v>977</v>
      </c>
      <c r="G978" s="193" t="s">
        <v>115</v>
      </c>
      <c r="H978" s="193"/>
      <c r="I978" s="211">
        <v>6</v>
      </c>
      <c r="J978" s="195" t="str">
        <f>J977</f>
        <v>1560 mm id</v>
      </c>
      <c r="K978" s="221">
        <v>1</v>
      </c>
      <c r="L978" s="195" t="s">
        <v>81</v>
      </c>
      <c r="M978" s="214">
        <f t="shared" si="346"/>
        <v>4.9015199999999997</v>
      </c>
      <c r="N978" s="195" t="s">
        <v>139</v>
      </c>
      <c r="O978" s="233">
        <f>VLOOKUP(I978,BM!$B$3:$Y$62,17,FALSE)</f>
        <v>0.9</v>
      </c>
      <c r="P978" s="195" t="s">
        <v>112</v>
      </c>
      <c r="Q978" s="227">
        <f t="shared" si="345"/>
        <v>4.4113679999999995</v>
      </c>
      <c r="R978" s="226">
        <v>1</v>
      </c>
      <c r="S978" s="227">
        <f t="shared" si="309"/>
        <v>5.41</v>
      </c>
      <c r="T978" s="203" t="s">
        <v>48</v>
      </c>
      <c r="U978" s="183" t="str">
        <f t="shared" si="307"/>
        <v>5.41 Hrs</v>
      </c>
    </row>
    <row r="979" spans="3:21" s="172" customFormat="1" ht="20.25" customHeight="1">
      <c r="C979" s="185"/>
      <c r="D979" s="190">
        <f t="shared" si="335"/>
        <v>979</v>
      </c>
      <c r="E979" s="194" t="s">
        <v>358</v>
      </c>
      <c r="F979" s="198">
        <f t="shared" si="344"/>
        <v>978</v>
      </c>
      <c r="G979" s="193" t="s">
        <v>61</v>
      </c>
      <c r="H979" s="193"/>
      <c r="I979" s="211">
        <v>18</v>
      </c>
      <c r="J979" s="195" t="str">
        <f>J978</f>
        <v>1560 mm id</v>
      </c>
      <c r="K979" s="221">
        <v>1</v>
      </c>
      <c r="L979" s="195" t="s">
        <v>81</v>
      </c>
      <c r="M979" s="214">
        <f t="shared" si="346"/>
        <v>4.9015199999999997</v>
      </c>
      <c r="N979" s="195" t="s">
        <v>139</v>
      </c>
      <c r="O979" s="233">
        <f>VLOOKUP(I979,BM!$B$3:$Y$62,20,FALSE)</f>
        <v>0.5</v>
      </c>
      <c r="P979" s="195" t="s">
        <v>112</v>
      </c>
      <c r="Q979" s="227">
        <f t="shared" si="345"/>
        <v>2.4507599999999998</v>
      </c>
      <c r="R979" s="226">
        <v>1</v>
      </c>
      <c r="S979" s="227">
        <f t="shared" si="309"/>
        <v>3.45</v>
      </c>
      <c r="T979" s="203" t="s">
        <v>48</v>
      </c>
      <c r="U979" s="183" t="str">
        <f t="shared" si="307"/>
        <v>3.45 Hrs</v>
      </c>
    </row>
    <row r="980" spans="3:21" s="172" customFormat="1" ht="20.25" customHeight="1">
      <c r="C980" s="185">
        <f>D980</f>
        <v>980</v>
      </c>
      <c r="D980" s="190">
        <f t="shared" si="335"/>
        <v>980</v>
      </c>
      <c r="E980" s="191" t="s">
        <v>359</v>
      </c>
      <c r="F980" s="197">
        <f>D974</f>
        <v>974</v>
      </c>
      <c r="G980" s="193"/>
      <c r="H980" s="193"/>
      <c r="I980" s="195"/>
      <c r="J980" s="195"/>
      <c r="K980" s="221"/>
      <c r="L980" s="195"/>
      <c r="M980" s="204"/>
      <c r="N980" s="195"/>
      <c r="O980" s="205"/>
      <c r="P980" s="195"/>
      <c r="Q980" s="227"/>
      <c r="R980" s="226"/>
      <c r="S980" s="227"/>
      <c r="T980" s="203"/>
      <c r="U980" s="183"/>
    </row>
    <row r="981" spans="3:21" s="172" customFormat="1" ht="20.25" customHeight="1">
      <c r="C981" s="185"/>
      <c r="D981" s="190">
        <f t="shared" si="335"/>
        <v>981</v>
      </c>
      <c r="E981" s="194" t="s">
        <v>360</v>
      </c>
      <c r="F981" s="198"/>
      <c r="G981" s="193" t="s">
        <v>299</v>
      </c>
      <c r="H981" s="193"/>
      <c r="I981" s="211">
        <v>18</v>
      </c>
      <c r="J981" s="195" t="str">
        <f>J979</f>
        <v>1560 mm id</v>
      </c>
      <c r="K981" s="221">
        <v>1</v>
      </c>
      <c r="L981" s="195" t="s">
        <v>81</v>
      </c>
      <c r="M981" s="214">
        <f t="shared" ref="M981:M982" si="347">LEFT(J981,SEARCH(" ",J981,1)-1)*3.142*K981*0.001</f>
        <v>4.9015199999999997</v>
      </c>
      <c r="N981" s="195" t="s">
        <v>139</v>
      </c>
      <c r="O981" s="233">
        <f>VLOOKUP(I981,BM!$B$3:$Y$62,10,FALSE)</f>
        <v>1</v>
      </c>
      <c r="P981" s="195" t="s">
        <v>112</v>
      </c>
      <c r="Q981" s="227">
        <f t="shared" ref="Q981:Q982" si="348">M981*O981</f>
        <v>4.9015199999999997</v>
      </c>
      <c r="R981" s="226">
        <v>1</v>
      </c>
      <c r="S981" s="227">
        <f t="shared" si="309"/>
        <v>5.9</v>
      </c>
      <c r="T981" s="203" t="s">
        <v>48</v>
      </c>
      <c r="U981" s="183" t="str">
        <f t="shared" si="307"/>
        <v>5.9 Hrs</v>
      </c>
    </row>
    <row r="982" spans="3:21" s="172" customFormat="1" ht="20.25" customHeight="1">
      <c r="C982" s="185"/>
      <c r="D982" s="190">
        <f t="shared" si="335"/>
        <v>982</v>
      </c>
      <c r="E982" s="194" t="s">
        <v>361</v>
      </c>
      <c r="F982" s="198">
        <f t="shared" ref="F982" si="349">D981</f>
        <v>981</v>
      </c>
      <c r="G982" s="193" t="s">
        <v>44</v>
      </c>
      <c r="H982" s="193"/>
      <c r="I982" s="211">
        <v>18</v>
      </c>
      <c r="J982" s="195" t="str">
        <f>J981</f>
        <v>1560 mm id</v>
      </c>
      <c r="K982" s="221">
        <v>1</v>
      </c>
      <c r="L982" s="195" t="s">
        <v>81</v>
      </c>
      <c r="M982" s="214">
        <f t="shared" si="347"/>
        <v>4.9015199999999997</v>
      </c>
      <c r="N982" s="195" t="s">
        <v>139</v>
      </c>
      <c r="O982" s="205">
        <v>1</v>
      </c>
      <c r="P982" s="195" t="s">
        <v>112</v>
      </c>
      <c r="Q982" s="227">
        <f t="shared" si="348"/>
        <v>4.9015199999999997</v>
      </c>
      <c r="R982" s="226">
        <v>1</v>
      </c>
      <c r="S982" s="227">
        <f t="shared" si="309"/>
        <v>5.9</v>
      </c>
      <c r="T982" s="203" t="s">
        <v>48</v>
      </c>
      <c r="U982" s="183" t="str">
        <f t="shared" si="307"/>
        <v>5.9 Hrs</v>
      </c>
    </row>
    <row r="983" spans="3:21" s="172" customFormat="1" ht="20.25" customHeight="1">
      <c r="C983" s="185">
        <f>D983</f>
        <v>983</v>
      </c>
      <c r="D983" s="190">
        <f t="shared" si="335"/>
        <v>983</v>
      </c>
      <c r="E983" s="191" t="s">
        <v>362</v>
      </c>
      <c r="F983" s="197">
        <f>D980</f>
        <v>980</v>
      </c>
      <c r="G983" s="193"/>
      <c r="H983" s="193"/>
      <c r="I983" s="195"/>
      <c r="J983" s="195"/>
      <c r="K983" s="221"/>
      <c r="L983" s="195"/>
      <c r="M983" s="204"/>
      <c r="N983" s="195"/>
      <c r="O983" s="205"/>
      <c r="P983" s="195"/>
      <c r="Q983" s="227"/>
      <c r="R983" s="226"/>
      <c r="S983" s="227"/>
      <c r="T983" s="203"/>
      <c r="U983" s="183"/>
    </row>
    <row r="984" spans="3:21" s="172" customFormat="1" ht="20.25" customHeight="1">
      <c r="C984" s="185"/>
      <c r="D984" s="190">
        <f t="shared" si="335"/>
        <v>984</v>
      </c>
      <c r="E984" s="194" t="s">
        <v>363</v>
      </c>
      <c r="F984" s="198"/>
      <c r="G984" s="193" t="s">
        <v>44</v>
      </c>
      <c r="H984" s="193"/>
      <c r="I984" s="211">
        <v>12</v>
      </c>
      <c r="J984" s="195" t="str">
        <f>J982</f>
        <v>1560 mm id</v>
      </c>
      <c r="K984" s="221">
        <v>1</v>
      </c>
      <c r="L984" s="195" t="s">
        <v>81</v>
      </c>
      <c r="M984" s="204">
        <v>1</v>
      </c>
      <c r="N984" s="195" t="s">
        <v>249</v>
      </c>
      <c r="O984" s="205">
        <v>1</v>
      </c>
      <c r="P984" s="195" t="s">
        <v>112</v>
      </c>
      <c r="Q984" s="227">
        <f t="shared" ref="Q984:Q988" si="350">M984*O984</f>
        <v>1</v>
      </c>
      <c r="R984" s="226">
        <v>1</v>
      </c>
      <c r="S984" s="227">
        <f t="shared" si="309"/>
        <v>2</v>
      </c>
      <c r="T984" s="203" t="s">
        <v>48</v>
      </c>
      <c r="U984" s="183" t="str">
        <f t="shared" si="307"/>
        <v>2 Hrs</v>
      </c>
    </row>
    <row r="985" spans="3:21" s="172" customFormat="1" ht="20.25" customHeight="1">
      <c r="C985" s="185"/>
      <c r="D985" s="190">
        <f t="shared" si="335"/>
        <v>985</v>
      </c>
      <c r="E985" s="194" t="s">
        <v>364</v>
      </c>
      <c r="F985" s="198">
        <f t="shared" ref="F985:F988" si="351">D984</f>
        <v>984</v>
      </c>
      <c r="G985" s="193" t="s">
        <v>115</v>
      </c>
      <c r="H985" s="193"/>
      <c r="I985" s="211">
        <v>12</v>
      </c>
      <c r="J985" s="195" t="str">
        <f>J984</f>
        <v>1560 mm id</v>
      </c>
      <c r="K985" s="221">
        <v>1</v>
      </c>
      <c r="L985" s="195" t="s">
        <v>81</v>
      </c>
      <c r="M985" s="214">
        <f t="shared" ref="M985:M988" si="352">LEFT(J985,SEARCH(" ",J985,1)-1)*3.142*K985*0.001</f>
        <v>4.9015199999999997</v>
      </c>
      <c r="N985" s="195" t="s">
        <v>249</v>
      </c>
      <c r="O985" s="233">
        <f>VLOOKUP(I985,BM!$B$3:$Y$62,17,FALSE)</f>
        <v>2.5</v>
      </c>
      <c r="P985" s="195" t="s">
        <v>112</v>
      </c>
      <c r="Q985" s="227">
        <f t="shared" si="350"/>
        <v>12.253799999999998</v>
      </c>
      <c r="R985" s="226">
        <v>1</v>
      </c>
      <c r="S985" s="227">
        <f t="shared" si="309"/>
        <v>13.25</v>
      </c>
      <c r="T985" s="203" t="s">
        <v>48</v>
      </c>
      <c r="U985" s="183" t="str">
        <f t="shared" si="307"/>
        <v>13.25 Hrs</v>
      </c>
    </row>
    <row r="986" spans="3:21" s="172" customFormat="1" ht="20.25" customHeight="1">
      <c r="C986" s="185"/>
      <c r="D986" s="190">
        <f t="shared" si="335"/>
        <v>986</v>
      </c>
      <c r="E986" s="194" t="s">
        <v>365</v>
      </c>
      <c r="F986" s="198">
        <f t="shared" si="351"/>
        <v>985</v>
      </c>
      <c r="G986" s="193" t="s">
        <v>61</v>
      </c>
      <c r="H986" s="193"/>
      <c r="I986" s="211">
        <v>18</v>
      </c>
      <c r="J986" s="195" t="str">
        <f>J985</f>
        <v>1560 mm id</v>
      </c>
      <c r="K986" s="221">
        <v>1</v>
      </c>
      <c r="L986" s="195" t="s">
        <v>81</v>
      </c>
      <c r="M986" s="214">
        <f t="shared" si="352"/>
        <v>4.9015199999999997</v>
      </c>
      <c r="N986" s="195" t="s">
        <v>249</v>
      </c>
      <c r="O986" s="233">
        <f>VLOOKUP(I986,BM!$B$3:$Y$62,18,FALSE)</f>
        <v>1</v>
      </c>
      <c r="P986" s="195" t="s">
        <v>112</v>
      </c>
      <c r="Q986" s="227">
        <f t="shared" si="350"/>
        <v>4.9015199999999997</v>
      </c>
      <c r="R986" s="226">
        <v>1</v>
      </c>
      <c r="S986" s="227">
        <f t="shared" si="309"/>
        <v>5.9</v>
      </c>
      <c r="T986" s="203" t="s">
        <v>48</v>
      </c>
      <c r="U986" s="183" t="str">
        <f t="shared" si="307"/>
        <v>5.9 Hrs</v>
      </c>
    </row>
    <row r="987" spans="3:21" s="172" customFormat="1" ht="20.25" customHeight="1">
      <c r="C987" s="185"/>
      <c r="D987" s="190">
        <f t="shared" si="335"/>
        <v>987</v>
      </c>
      <c r="E987" s="194" t="s">
        <v>366</v>
      </c>
      <c r="F987" s="198">
        <f t="shared" si="351"/>
        <v>986</v>
      </c>
      <c r="G987" s="193" t="s">
        <v>115</v>
      </c>
      <c r="H987" s="193"/>
      <c r="I987" s="211">
        <v>6</v>
      </c>
      <c r="J987" s="195" t="str">
        <f>J986</f>
        <v>1560 mm id</v>
      </c>
      <c r="K987" s="221">
        <v>1</v>
      </c>
      <c r="L987" s="195" t="s">
        <v>81</v>
      </c>
      <c r="M987" s="214">
        <f t="shared" si="352"/>
        <v>4.9015199999999997</v>
      </c>
      <c r="N987" s="195" t="s">
        <v>249</v>
      </c>
      <c r="O987" s="233">
        <f>VLOOKUP(I987,BM!$B$3:$Y$62,17,FALSE)</f>
        <v>0.9</v>
      </c>
      <c r="P987" s="195" t="s">
        <v>112</v>
      </c>
      <c r="Q987" s="227">
        <f t="shared" si="350"/>
        <v>4.4113679999999995</v>
      </c>
      <c r="R987" s="226">
        <v>1</v>
      </c>
      <c r="S987" s="227">
        <f t="shared" si="309"/>
        <v>5.41</v>
      </c>
      <c r="T987" s="203" t="s">
        <v>48</v>
      </c>
      <c r="U987" s="183" t="str">
        <f t="shared" si="307"/>
        <v>5.41 Hrs</v>
      </c>
    </row>
    <row r="988" spans="3:21" s="172" customFormat="1" ht="20.25" customHeight="1">
      <c r="C988" s="185"/>
      <c r="D988" s="190">
        <f t="shared" si="335"/>
        <v>988</v>
      </c>
      <c r="E988" s="194" t="s">
        <v>367</v>
      </c>
      <c r="F988" s="198">
        <f t="shared" si="351"/>
        <v>987</v>
      </c>
      <c r="G988" s="193" t="s">
        <v>61</v>
      </c>
      <c r="H988" s="193"/>
      <c r="I988" s="211">
        <v>18</v>
      </c>
      <c r="J988" s="195" t="str">
        <f>J987</f>
        <v>1560 mm id</v>
      </c>
      <c r="K988" s="221">
        <v>1</v>
      </c>
      <c r="L988" s="195" t="s">
        <v>81</v>
      </c>
      <c r="M988" s="214">
        <f t="shared" si="352"/>
        <v>4.9015199999999997</v>
      </c>
      <c r="N988" s="195" t="s">
        <v>249</v>
      </c>
      <c r="O988" s="233">
        <f>VLOOKUP(I988,BM!$B$3:$Y$62,20,FALSE)</f>
        <v>0.5</v>
      </c>
      <c r="P988" s="195" t="s">
        <v>112</v>
      </c>
      <c r="Q988" s="227">
        <f t="shared" si="350"/>
        <v>2.4507599999999998</v>
      </c>
      <c r="R988" s="226">
        <v>1</v>
      </c>
      <c r="S988" s="227">
        <f t="shared" si="309"/>
        <v>3.45</v>
      </c>
      <c r="T988" s="203" t="s">
        <v>48</v>
      </c>
      <c r="U988" s="183" t="str">
        <f t="shared" ref="U988:U1051" si="353">CONCATENATE(S988," ",T988)</f>
        <v>3.45 Hrs</v>
      </c>
    </row>
    <row r="989" spans="3:21" s="172" customFormat="1" ht="20.25" customHeight="1">
      <c r="C989" s="185">
        <f>D989</f>
        <v>989</v>
      </c>
      <c r="D989" s="190">
        <f t="shared" si="335"/>
        <v>989</v>
      </c>
      <c r="E989" s="191" t="s">
        <v>368</v>
      </c>
      <c r="F989" s="197">
        <f>D983</f>
        <v>983</v>
      </c>
      <c r="G989" s="193"/>
      <c r="H989" s="193"/>
      <c r="I989" s="195"/>
      <c r="J989" s="195"/>
      <c r="K989" s="221"/>
      <c r="L989" s="195"/>
      <c r="M989" s="204"/>
      <c r="N989" s="195"/>
      <c r="O989" s="205"/>
      <c r="P989" s="195"/>
      <c r="Q989" s="227"/>
      <c r="R989" s="226"/>
      <c r="S989" s="227"/>
      <c r="T989" s="203"/>
      <c r="U989" s="183"/>
    </row>
    <row r="990" spans="3:21" s="172" customFormat="1" ht="20.25" customHeight="1">
      <c r="C990" s="185"/>
      <c r="D990" s="190">
        <f t="shared" si="335"/>
        <v>990</v>
      </c>
      <c r="E990" s="194" t="s">
        <v>369</v>
      </c>
      <c r="F990" s="198"/>
      <c r="G990" s="193" t="s">
        <v>348</v>
      </c>
      <c r="H990" s="193"/>
      <c r="I990" s="211">
        <v>18</v>
      </c>
      <c r="J990" s="195" t="str">
        <f>J988</f>
        <v>1560 mm id</v>
      </c>
      <c r="K990" s="221">
        <v>1</v>
      </c>
      <c r="L990" s="195" t="s">
        <v>81</v>
      </c>
      <c r="M990" s="204">
        <v>1</v>
      </c>
      <c r="N990" s="195" t="s">
        <v>81</v>
      </c>
      <c r="O990" s="205">
        <v>4</v>
      </c>
      <c r="P990" s="195" t="s">
        <v>112</v>
      </c>
      <c r="Q990" s="227">
        <f t="shared" ref="Q990:Q992" si="354">M990*O990</f>
        <v>4</v>
      </c>
      <c r="R990" s="226">
        <v>1</v>
      </c>
      <c r="S990" s="227">
        <f t="shared" ref="S990:S1052" si="355">ROUND(Q990+R990,2)</f>
        <v>5</v>
      </c>
      <c r="T990" s="203" t="s">
        <v>48</v>
      </c>
      <c r="U990" s="183" t="str">
        <f t="shared" si="353"/>
        <v>5 Hrs</v>
      </c>
    </row>
    <row r="991" spans="3:21" s="172" customFormat="1" ht="20.25" customHeight="1">
      <c r="C991" s="185"/>
      <c r="D991" s="190">
        <f t="shared" si="335"/>
        <v>991</v>
      </c>
      <c r="E991" s="194" t="s">
        <v>370</v>
      </c>
      <c r="F991" s="198">
        <f t="shared" ref="F991:F992" si="356">D990</f>
        <v>990</v>
      </c>
      <c r="G991" s="193" t="s">
        <v>348</v>
      </c>
      <c r="H991" s="193"/>
      <c r="I991" s="211">
        <v>18</v>
      </c>
      <c r="J991" s="195" t="str">
        <f>J990</f>
        <v>1560 mm id</v>
      </c>
      <c r="K991" s="221">
        <v>1</v>
      </c>
      <c r="L991" s="195" t="s">
        <v>81</v>
      </c>
      <c r="M991" s="204">
        <v>1</v>
      </c>
      <c r="N991" s="195" t="s">
        <v>81</v>
      </c>
      <c r="O991" s="205">
        <v>4</v>
      </c>
      <c r="P991" s="195" t="s">
        <v>112</v>
      </c>
      <c r="Q991" s="227">
        <f t="shared" si="354"/>
        <v>4</v>
      </c>
      <c r="R991" s="226">
        <v>1</v>
      </c>
      <c r="S991" s="227">
        <f t="shared" si="355"/>
        <v>5</v>
      </c>
      <c r="T991" s="203" t="s">
        <v>48</v>
      </c>
      <c r="U991" s="183" t="str">
        <f t="shared" si="353"/>
        <v>5 Hrs</v>
      </c>
    </row>
    <row r="992" spans="3:21" s="172" customFormat="1" ht="20.25" customHeight="1">
      <c r="C992" s="185"/>
      <c r="D992" s="190">
        <f t="shared" si="335"/>
        <v>992</v>
      </c>
      <c r="E992" s="194" t="s">
        <v>370</v>
      </c>
      <c r="F992" s="198">
        <f t="shared" si="356"/>
        <v>991</v>
      </c>
      <c r="G992" s="193" t="s">
        <v>348</v>
      </c>
      <c r="H992" s="193"/>
      <c r="I992" s="211">
        <v>18</v>
      </c>
      <c r="J992" s="195" t="str">
        <f>J991</f>
        <v>1560 mm id</v>
      </c>
      <c r="K992" s="221">
        <v>1</v>
      </c>
      <c r="L992" s="195" t="s">
        <v>81</v>
      </c>
      <c r="M992" s="204">
        <v>1</v>
      </c>
      <c r="N992" s="195" t="s">
        <v>81</v>
      </c>
      <c r="O992" s="205">
        <v>4</v>
      </c>
      <c r="P992" s="195" t="s">
        <v>112</v>
      </c>
      <c r="Q992" s="227">
        <f t="shared" si="354"/>
        <v>4</v>
      </c>
      <c r="R992" s="226">
        <v>1</v>
      </c>
      <c r="S992" s="227">
        <f t="shared" si="355"/>
        <v>5</v>
      </c>
      <c r="T992" s="203" t="s">
        <v>48</v>
      </c>
      <c r="U992" s="183" t="str">
        <f t="shared" si="353"/>
        <v>5 Hrs</v>
      </c>
    </row>
    <row r="993" spans="3:21" s="172" customFormat="1" ht="20.25" customHeight="1">
      <c r="C993" s="185">
        <f>D993</f>
        <v>993</v>
      </c>
      <c r="D993" s="190">
        <f t="shared" si="335"/>
        <v>993</v>
      </c>
      <c r="E993" s="191" t="s">
        <v>371</v>
      </c>
      <c r="F993" s="197">
        <f>D989</f>
        <v>989</v>
      </c>
      <c r="G993" s="193"/>
      <c r="H993" s="193"/>
      <c r="I993" s="195"/>
      <c r="J993" s="195"/>
      <c r="K993" s="221"/>
      <c r="L993" s="195"/>
      <c r="M993" s="204"/>
      <c r="N993" s="195"/>
      <c r="O993" s="205"/>
      <c r="P993" s="195"/>
      <c r="Q993" s="227"/>
      <c r="R993" s="226"/>
      <c r="S993" s="227"/>
      <c r="T993" s="203"/>
      <c r="U993" s="183"/>
    </row>
    <row r="994" spans="3:21" s="172" customFormat="1" ht="20.25" customHeight="1">
      <c r="C994" s="185"/>
      <c r="D994" s="190">
        <f t="shared" si="335"/>
        <v>994</v>
      </c>
      <c r="E994" s="194" t="s">
        <v>372</v>
      </c>
      <c r="F994" s="198"/>
      <c r="G994" s="193" t="s">
        <v>52</v>
      </c>
      <c r="H994" s="193"/>
      <c r="I994" s="211">
        <v>18</v>
      </c>
      <c r="J994" s="221" t="s">
        <v>373</v>
      </c>
      <c r="K994" s="221">
        <v>1</v>
      </c>
      <c r="L994" s="195" t="s">
        <v>39</v>
      </c>
      <c r="M994" s="214">
        <f t="shared" ref="M994:M995" si="357">LEFT(J994,SEARCH(" ",J994,1)-1)*3.142*K994*0.001</f>
        <v>3.0540240000000001</v>
      </c>
      <c r="N994" s="195" t="s">
        <v>249</v>
      </c>
      <c r="O994" s="233">
        <f>VLOOKUP(I994,BM!$B$3:$Y$62,2,FALSE)</f>
        <v>0.1</v>
      </c>
      <c r="P994" s="195" t="s">
        <v>112</v>
      </c>
      <c r="Q994" s="227">
        <f t="shared" ref="Q994:Q996" si="358">M994*O994</f>
        <v>0.30540240000000002</v>
      </c>
      <c r="R994" s="226">
        <v>1</v>
      </c>
      <c r="S994" s="227">
        <f t="shared" si="355"/>
        <v>1.31</v>
      </c>
      <c r="T994" s="203" t="s">
        <v>48</v>
      </c>
      <c r="U994" s="183" t="str">
        <f t="shared" si="353"/>
        <v>1.31 Hrs</v>
      </c>
    </row>
    <row r="995" spans="3:21" s="172" customFormat="1" ht="20.25" customHeight="1">
      <c r="C995" s="185"/>
      <c r="D995" s="190">
        <f t="shared" si="335"/>
        <v>995</v>
      </c>
      <c r="E995" s="194" t="s">
        <v>372</v>
      </c>
      <c r="F995" s="198">
        <f t="shared" ref="F995" si="359">D994</f>
        <v>994</v>
      </c>
      <c r="G995" s="193" t="s">
        <v>52</v>
      </c>
      <c r="H995" s="193"/>
      <c r="I995" s="211">
        <v>18</v>
      </c>
      <c r="J995" s="195" t="str">
        <f>J994</f>
        <v>972 mm lip od</v>
      </c>
      <c r="K995" s="221">
        <v>1</v>
      </c>
      <c r="L995" s="195" t="s">
        <v>39</v>
      </c>
      <c r="M995" s="214">
        <f t="shared" si="357"/>
        <v>3.0540240000000001</v>
      </c>
      <c r="N995" s="195" t="s">
        <v>249</v>
      </c>
      <c r="O995" s="233">
        <f>VLOOKUP(I995,BM!$B$3:$Y$62,2,FALSE)</f>
        <v>0.1</v>
      </c>
      <c r="P995" s="195" t="s">
        <v>112</v>
      </c>
      <c r="Q995" s="227">
        <f t="shared" si="358"/>
        <v>0.30540240000000002</v>
      </c>
      <c r="R995" s="226">
        <v>1</v>
      </c>
      <c r="S995" s="227">
        <f t="shared" si="355"/>
        <v>1.31</v>
      </c>
      <c r="T995" s="203" t="s">
        <v>48</v>
      </c>
      <c r="U995" s="183" t="str">
        <f t="shared" si="353"/>
        <v>1.31 Hrs</v>
      </c>
    </row>
    <row r="996" spans="3:21" s="172" customFormat="1" ht="20.25" customHeight="1">
      <c r="C996" s="185">
        <f t="shared" ref="C996:C997" si="360">D996</f>
        <v>996</v>
      </c>
      <c r="D996" s="190">
        <f t="shared" si="335"/>
        <v>996</v>
      </c>
      <c r="E996" s="194" t="s">
        <v>109</v>
      </c>
      <c r="F996" s="198">
        <f>D993</f>
        <v>993</v>
      </c>
      <c r="G996" s="193" t="s">
        <v>52</v>
      </c>
      <c r="H996" s="193"/>
      <c r="I996" s="195"/>
      <c r="J996" s="195"/>
      <c r="K996" s="221">
        <v>2</v>
      </c>
      <c r="L996" s="195" t="s">
        <v>81</v>
      </c>
      <c r="M996" s="204">
        <v>2</v>
      </c>
      <c r="N996" s="195" t="s">
        <v>81</v>
      </c>
      <c r="O996" s="205">
        <v>0.5</v>
      </c>
      <c r="P996" s="195" t="s">
        <v>112</v>
      </c>
      <c r="Q996" s="227">
        <f t="shared" si="358"/>
        <v>1</v>
      </c>
      <c r="R996" s="226">
        <v>1</v>
      </c>
      <c r="S996" s="227">
        <f t="shared" si="355"/>
        <v>2</v>
      </c>
      <c r="T996" s="203" t="s">
        <v>48</v>
      </c>
      <c r="U996" s="183" t="str">
        <f t="shared" si="353"/>
        <v>2 Hrs</v>
      </c>
    </row>
    <row r="997" spans="3:21" s="172" customFormat="1" ht="20.25" customHeight="1">
      <c r="C997" s="185">
        <f t="shared" si="360"/>
        <v>997</v>
      </c>
      <c r="D997" s="190">
        <f t="shared" si="335"/>
        <v>997</v>
      </c>
      <c r="E997" s="191" t="s">
        <v>374</v>
      </c>
      <c r="F997" s="197">
        <f>D996</f>
        <v>996</v>
      </c>
      <c r="G997" s="193"/>
      <c r="H997" s="193"/>
      <c r="I997" s="195"/>
      <c r="J997" s="195"/>
      <c r="K997" s="221"/>
      <c r="L997" s="195"/>
      <c r="M997" s="204"/>
      <c r="N997" s="195"/>
      <c r="O997" s="205"/>
      <c r="P997" s="195"/>
      <c r="Q997" s="227"/>
      <c r="R997" s="226"/>
      <c r="S997" s="227"/>
      <c r="T997" s="203"/>
      <c r="U997" s="183"/>
    </row>
    <row r="998" spans="3:21" s="172" customFormat="1" ht="20.25" customHeight="1">
      <c r="C998" s="185"/>
      <c r="D998" s="190">
        <f t="shared" si="335"/>
        <v>998</v>
      </c>
      <c r="E998" s="194" t="s">
        <v>372</v>
      </c>
      <c r="F998" s="198"/>
      <c r="G998" s="193" t="s">
        <v>61</v>
      </c>
      <c r="H998" s="193"/>
      <c r="I998" s="211">
        <v>18</v>
      </c>
      <c r="J998" s="195" t="str">
        <f>J995</f>
        <v>972 mm lip od</v>
      </c>
      <c r="K998" s="221">
        <v>1</v>
      </c>
      <c r="L998" s="195" t="s">
        <v>39</v>
      </c>
      <c r="M998" s="214">
        <f t="shared" ref="M998:M999" si="361">LEFT(J998,SEARCH(" ",J998,1)-1)*3.142*K998*0.001</f>
        <v>3.0540240000000001</v>
      </c>
      <c r="N998" s="195" t="s">
        <v>249</v>
      </c>
      <c r="O998" s="233">
        <f>VLOOKUP(I998,BM!$B$3:$Y$62,6,FALSE)</f>
        <v>1</v>
      </c>
      <c r="P998" s="195" t="s">
        <v>112</v>
      </c>
      <c r="Q998" s="227">
        <f t="shared" ref="Q998:Q1000" si="362">M998*O998</f>
        <v>3.0540240000000001</v>
      </c>
      <c r="R998" s="226">
        <v>1</v>
      </c>
      <c r="S998" s="227">
        <f t="shared" si="355"/>
        <v>4.05</v>
      </c>
      <c r="T998" s="203" t="s">
        <v>48</v>
      </c>
      <c r="U998" s="183" t="str">
        <f t="shared" si="353"/>
        <v>4.05 Hrs</v>
      </c>
    </row>
    <row r="999" spans="3:21" s="172" customFormat="1" ht="20.25" customHeight="1">
      <c r="C999" s="185"/>
      <c r="D999" s="190">
        <f t="shared" si="335"/>
        <v>999</v>
      </c>
      <c r="E999" s="194" t="s">
        <v>372</v>
      </c>
      <c r="F999" s="198">
        <f t="shared" ref="F999:F1000" si="363">D998</f>
        <v>998</v>
      </c>
      <c r="G999" s="193" t="s">
        <v>61</v>
      </c>
      <c r="H999" s="193"/>
      <c r="I999" s="211">
        <v>18</v>
      </c>
      <c r="J999" s="195" t="str">
        <f>J998</f>
        <v>972 mm lip od</v>
      </c>
      <c r="K999" s="221">
        <v>1</v>
      </c>
      <c r="L999" s="195" t="s">
        <v>39</v>
      </c>
      <c r="M999" s="214">
        <f t="shared" si="361"/>
        <v>3.0540240000000001</v>
      </c>
      <c r="N999" s="195" t="s">
        <v>249</v>
      </c>
      <c r="O999" s="233">
        <f>VLOOKUP(I999,BM!$B$3:$Y$62,6,FALSE)</f>
        <v>1</v>
      </c>
      <c r="P999" s="195" t="s">
        <v>112</v>
      </c>
      <c r="Q999" s="227">
        <f t="shared" si="362"/>
        <v>3.0540240000000001</v>
      </c>
      <c r="R999" s="226">
        <v>1</v>
      </c>
      <c r="S999" s="227">
        <f t="shared" si="355"/>
        <v>4.05</v>
      </c>
      <c r="T999" s="203" t="s">
        <v>48</v>
      </c>
      <c r="U999" s="183" t="str">
        <f t="shared" si="353"/>
        <v>4.05 Hrs</v>
      </c>
    </row>
    <row r="1000" spans="3:21" s="172" customFormat="1" ht="20.25" customHeight="1">
      <c r="C1000" s="185"/>
      <c r="D1000" s="190">
        <f t="shared" si="335"/>
        <v>1000</v>
      </c>
      <c r="E1000" s="194" t="s">
        <v>109</v>
      </c>
      <c r="F1000" s="198">
        <f t="shared" si="363"/>
        <v>999</v>
      </c>
      <c r="G1000" s="193"/>
      <c r="H1000" s="193"/>
      <c r="I1000" s="195"/>
      <c r="J1000" s="195"/>
      <c r="K1000" s="221">
        <v>1</v>
      </c>
      <c r="L1000" s="195" t="s">
        <v>39</v>
      </c>
      <c r="M1000" s="204">
        <v>2</v>
      </c>
      <c r="N1000" s="195" t="s">
        <v>81</v>
      </c>
      <c r="O1000" s="205">
        <v>0.5</v>
      </c>
      <c r="P1000" s="195" t="s">
        <v>112</v>
      </c>
      <c r="Q1000" s="227">
        <f t="shared" si="362"/>
        <v>1</v>
      </c>
      <c r="R1000" s="226">
        <v>1</v>
      </c>
      <c r="S1000" s="227">
        <f t="shared" si="355"/>
        <v>2</v>
      </c>
      <c r="T1000" s="203" t="s">
        <v>48</v>
      </c>
      <c r="U1000" s="183" t="str">
        <f t="shared" si="353"/>
        <v>2 Hrs</v>
      </c>
    </row>
    <row r="1001" spans="3:21" s="172" customFormat="1" ht="20.25" customHeight="1">
      <c r="C1001" s="185">
        <f>D1001</f>
        <v>1001</v>
      </c>
      <c r="D1001" s="190">
        <f t="shared" si="335"/>
        <v>1001</v>
      </c>
      <c r="E1001" s="191" t="s">
        <v>375</v>
      </c>
      <c r="F1001" s="197">
        <f>D997</f>
        <v>997</v>
      </c>
      <c r="G1001" s="193"/>
      <c r="H1001" s="193"/>
      <c r="I1001" s="195"/>
      <c r="J1001" s="195"/>
      <c r="K1001" s="221"/>
      <c r="L1001" s="195"/>
      <c r="M1001" s="204"/>
      <c r="N1001" s="195"/>
      <c r="O1001" s="205"/>
      <c r="P1001" s="195"/>
      <c r="Q1001" s="227"/>
      <c r="R1001" s="226"/>
      <c r="S1001" s="227"/>
      <c r="T1001" s="203"/>
      <c r="U1001" s="183"/>
    </row>
    <row r="1002" spans="3:21" s="172" customFormat="1" ht="20.25" customHeight="1">
      <c r="C1002" s="185"/>
      <c r="D1002" s="190">
        <f t="shared" si="335"/>
        <v>1002</v>
      </c>
      <c r="E1002" s="194" t="s">
        <v>372</v>
      </c>
      <c r="F1002" s="198"/>
      <c r="G1002" s="193" t="s">
        <v>299</v>
      </c>
      <c r="H1002" s="193"/>
      <c r="I1002" s="195"/>
      <c r="J1002" s="221" t="s">
        <v>376</v>
      </c>
      <c r="K1002" s="221">
        <v>1</v>
      </c>
      <c r="L1002" s="195" t="s">
        <v>39</v>
      </c>
      <c r="M1002" s="204">
        <v>1</v>
      </c>
      <c r="N1002" s="195" t="s">
        <v>249</v>
      </c>
      <c r="O1002" s="233" t="e">
        <f>VLOOKUP(J1002,BM!$B$3:$Y$62,11,FALSE)</f>
        <v>#N/A</v>
      </c>
      <c r="P1002" s="195" t="s">
        <v>112</v>
      </c>
      <c r="Q1002" s="227" t="e">
        <f t="shared" ref="Q1002:Q1004" si="364">M1002*O1002</f>
        <v>#N/A</v>
      </c>
      <c r="R1002" s="226">
        <v>1</v>
      </c>
      <c r="S1002" s="227" t="e">
        <f t="shared" si="355"/>
        <v>#N/A</v>
      </c>
      <c r="T1002" s="203" t="s">
        <v>48</v>
      </c>
      <c r="U1002" s="183" t="e">
        <f t="shared" si="353"/>
        <v>#N/A</v>
      </c>
    </row>
    <row r="1003" spans="3:21" s="172" customFormat="1" ht="20.25" customHeight="1">
      <c r="C1003" s="185"/>
      <c r="D1003" s="190">
        <f t="shared" si="335"/>
        <v>1003</v>
      </c>
      <c r="E1003" s="194" t="s">
        <v>372</v>
      </c>
      <c r="F1003" s="198">
        <f t="shared" ref="F1003:F1004" si="365">D1002</f>
        <v>1002</v>
      </c>
      <c r="G1003" s="193" t="s">
        <v>299</v>
      </c>
      <c r="H1003" s="193"/>
      <c r="I1003" s="195"/>
      <c r="J1003" s="221" t="s">
        <v>376</v>
      </c>
      <c r="K1003" s="221">
        <v>1</v>
      </c>
      <c r="L1003" s="195" t="s">
        <v>39</v>
      </c>
      <c r="M1003" s="204">
        <v>1</v>
      </c>
      <c r="N1003" s="195" t="s">
        <v>249</v>
      </c>
      <c r="O1003" s="233" t="e">
        <f>VLOOKUP(J1003,BM!$B$3:$Y$62,11,FALSE)</f>
        <v>#N/A</v>
      </c>
      <c r="P1003" s="195" t="s">
        <v>112</v>
      </c>
      <c r="Q1003" s="227" t="e">
        <f t="shared" si="364"/>
        <v>#N/A</v>
      </c>
      <c r="R1003" s="226">
        <v>1</v>
      </c>
      <c r="S1003" s="227" t="e">
        <f t="shared" si="355"/>
        <v>#N/A</v>
      </c>
      <c r="T1003" s="203" t="s">
        <v>48</v>
      </c>
      <c r="U1003" s="183" t="e">
        <f t="shared" si="353"/>
        <v>#N/A</v>
      </c>
    </row>
    <row r="1004" spans="3:21" s="172" customFormat="1" ht="20.25" customHeight="1">
      <c r="C1004" s="185"/>
      <c r="D1004" s="190">
        <f t="shared" si="335"/>
        <v>1004</v>
      </c>
      <c r="E1004" s="194" t="s">
        <v>377</v>
      </c>
      <c r="F1004" s="198">
        <f t="shared" si="365"/>
        <v>1003</v>
      </c>
      <c r="G1004" s="193"/>
      <c r="H1004" s="193"/>
      <c r="I1004" s="195"/>
      <c r="J1004" s="195"/>
      <c r="K1004" s="221">
        <v>2</v>
      </c>
      <c r="L1004" s="195" t="s">
        <v>39</v>
      </c>
      <c r="M1004" s="204">
        <v>1</v>
      </c>
      <c r="N1004" s="195" t="s">
        <v>81</v>
      </c>
      <c r="O1004" s="205">
        <v>1</v>
      </c>
      <c r="P1004" s="195" t="s">
        <v>112</v>
      </c>
      <c r="Q1004" s="227">
        <f t="shared" si="364"/>
        <v>1</v>
      </c>
      <c r="R1004" s="226">
        <v>1</v>
      </c>
      <c r="S1004" s="227">
        <f t="shared" si="355"/>
        <v>2</v>
      </c>
      <c r="T1004" s="203" t="s">
        <v>48</v>
      </c>
      <c r="U1004" s="183" t="str">
        <f t="shared" si="353"/>
        <v>2 Hrs</v>
      </c>
    </row>
    <row r="1005" spans="3:21" s="172" customFormat="1" ht="20.25" customHeight="1">
      <c r="C1005" s="185">
        <f>D1005</f>
        <v>1005</v>
      </c>
      <c r="D1005" s="190">
        <f t="shared" si="335"/>
        <v>1005</v>
      </c>
      <c r="E1005" s="191" t="s">
        <v>378</v>
      </c>
      <c r="F1005" s="197">
        <f>D1001</f>
        <v>1001</v>
      </c>
      <c r="G1005" s="193"/>
      <c r="H1005" s="193"/>
      <c r="I1005" s="195"/>
      <c r="J1005" s="195"/>
      <c r="K1005" s="221"/>
      <c r="L1005" s="195"/>
      <c r="M1005" s="204"/>
      <c r="N1005" s="195"/>
      <c r="O1005" s="205"/>
      <c r="P1005" s="195"/>
      <c r="Q1005" s="227"/>
      <c r="R1005" s="226"/>
      <c r="S1005" s="227"/>
      <c r="T1005" s="203"/>
      <c r="U1005" s="183"/>
    </row>
    <row r="1006" spans="3:21" s="172" customFormat="1" ht="20.25" customHeight="1">
      <c r="C1006" s="185"/>
      <c r="D1006" s="190">
        <f t="shared" si="335"/>
        <v>1006</v>
      </c>
      <c r="E1006" s="194" t="s">
        <v>372</v>
      </c>
      <c r="F1006" s="198"/>
      <c r="G1006" s="193" t="s">
        <v>44</v>
      </c>
      <c r="H1006" s="193"/>
      <c r="I1006" s="195"/>
      <c r="J1006" s="221" t="s">
        <v>376</v>
      </c>
      <c r="K1006" s="221">
        <v>1</v>
      </c>
      <c r="L1006" s="195" t="s">
        <v>39</v>
      </c>
      <c r="M1006" s="204">
        <v>1</v>
      </c>
      <c r="N1006" s="195" t="s">
        <v>48</v>
      </c>
      <c r="O1006" s="205">
        <v>1</v>
      </c>
      <c r="P1006" s="195" t="s">
        <v>112</v>
      </c>
      <c r="Q1006" s="227">
        <f t="shared" ref="Q1006:Q1008" si="366">M1006*O1006</f>
        <v>1</v>
      </c>
      <c r="R1006" s="226">
        <v>1</v>
      </c>
      <c r="S1006" s="227">
        <f t="shared" si="355"/>
        <v>2</v>
      </c>
      <c r="T1006" s="203" t="s">
        <v>48</v>
      </c>
      <c r="U1006" s="183" t="str">
        <f t="shared" si="353"/>
        <v>2 Hrs</v>
      </c>
    </row>
    <row r="1007" spans="3:21" s="172" customFormat="1" ht="20.25" customHeight="1">
      <c r="C1007" s="185"/>
      <c r="D1007" s="190">
        <f t="shared" si="335"/>
        <v>1007</v>
      </c>
      <c r="E1007" s="194" t="s">
        <v>372</v>
      </c>
      <c r="F1007" s="198">
        <f t="shared" ref="F1007:F1008" si="367">D1006</f>
        <v>1006</v>
      </c>
      <c r="G1007" s="193" t="s">
        <v>44</v>
      </c>
      <c r="H1007" s="193"/>
      <c r="I1007" s="195"/>
      <c r="J1007" s="221" t="s">
        <v>376</v>
      </c>
      <c r="K1007" s="221">
        <v>1</v>
      </c>
      <c r="L1007" s="195" t="s">
        <v>39</v>
      </c>
      <c r="M1007" s="204">
        <v>1</v>
      </c>
      <c r="N1007" s="195" t="s">
        <v>48</v>
      </c>
      <c r="O1007" s="205">
        <v>1</v>
      </c>
      <c r="P1007" s="195" t="s">
        <v>112</v>
      </c>
      <c r="Q1007" s="227">
        <f t="shared" si="366"/>
        <v>1</v>
      </c>
      <c r="R1007" s="226">
        <v>1</v>
      </c>
      <c r="S1007" s="227">
        <f t="shared" si="355"/>
        <v>2</v>
      </c>
      <c r="T1007" s="203" t="s">
        <v>48</v>
      </c>
      <c r="U1007" s="183" t="str">
        <f t="shared" si="353"/>
        <v>2 Hrs</v>
      </c>
    </row>
    <row r="1008" spans="3:21" s="172" customFormat="1" ht="20.25" customHeight="1">
      <c r="C1008" s="185"/>
      <c r="D1008" s="190">
        <f t="shared" si="335"/>
        <v>1008</v>
      </c>
      <c r="E1008" s="194" t="s">
        <v>377</v>
      </c>
      <c r="F1008" s="198">
        <f t="shared" si="367"/>
        <v>1007</v>
      </c>
      <c r="G1008" s="193" t="s">
        <v>44</v>
      </c>
      <c r="H1008" s="193"/>
      <c r="I1008" s="195"/>
      <c r="J1008" s="221" t="s">
        <v>376</v>
      </c>
      <c r="K1008" s="221">
        <v>2</v>
      </c>
      <c r="L1008" s="195" t="s">
        <v>39</v>
      </c>
      <c r="M1008" s="204">
        <v>1</v>
      </c>
      <c r="N1008" s="195" t="s">
        <v>48</v>
      </c>
      <c r="O1008" s="205">
        <v>1</v>
      </c>
      <c r="P1008" s="195" t="s">
        <v>112</v>
      </c>
      <c r="Q1008" s="227">
        <f t="shared" si="366"/>
        <v>1</v>
      </c>
      <c r="R1008" s="226">
        <v>1</v>
      </c>
      <c r="S1008" s="227">
        <f t="shared" si="355"/>
        <v>2</v>
      </c>
      <c r="T1008" s="203" t="s">
        <v>48</v>
      </c>
      <c r="U1008" s="183" t="str">
        <f t="shared" si="353"/>
        <v>2 Hrs</v>
      </c>
    </row>
    <row r="1009" spans="3:21" s="172" customFormat="1" ht="20.25" customHeight="1">
      <c r="C1009" s="185">
        <f>D1009</f>
        <v>1009</v>
      </c>
      <c r="D1009" s="190">
        <f t="shared" si="335"/>
        <v>1009</v>
      </c>
      <c r="E1009" s="191" t="s">
        <v>379</v>
      </c>
      <c r="F1009" s="197">
        <f>D1005</f>
        <v>1005</v>
      </c>
      <c r="G1009" s="193"/>
      <c r="H1009" s="193"/>
      <c r="I1009" s="195"/>
      <c r="J1009" s="195"/>
      <c r="K1009" s="221"/>
      <c r="L1009" s="195"/>
      <c r="M1009" s="204"/>
      <c r="N1009" s="195"/>
      <c r="O1009" s="205"/>
      <c r="P1009" s="195"/>
      <c r="Q1009" s="227"/>
      <c r="R1009" s="226"/>
      <c r="S1009" s="227"/>
      <c r="T1009" s="203"/>
      <c r="U1009" s="183"/>
    </row>
    <row r="1010" spans="3:21" s="172" customFormat="1" ht="20.25" customHeight="1">
      <c r="C1010" s="185"/>
      <c r="D1010" s="190">
        <f t="shared" si="335"/>
        <v>1010</v>
      </c>
      <c r="E1010" s="194" t="s">
        <v>380</v>
      </c>
      <c r="F1010" s="198"/>
      <c r="G1010" s="193" t="s">
        <v>37</v>
      </c>
      <c r="H1010" s="193"/>
      <c r="I1010" s="195"/>
      <c r="J1010" s="195"/>
      <c r="K1010" s="221">
        <v>1</v>
      </c>
      <c r="L1010" s="195" t="s">
        <v>39</v>
      </c>
      <c r="M1010" s="204">
        <v>1</v>
      </c>
      <c r="N1010" s="195" t="s">
        <v>81</v>
      </c>
      <c r="O1010" s="205">
        <v>1</v>
      </c>
      <c r="P1010" s="195" t="s">
        <v>162</v>
      </c>
      <c r="Q1010" s="227">
        <f t="shared" ref="Q1010:Q1017" si="368">M1010*O1010</f>
        <v>1</v>
      </c>
      <c r="R1010" s="226"/>
      <c r="S1010" s="227">
        <f t="shared" si="355"/>
        <v>1</v>
      </c>
      <c r="T1010" s="203" t="s">
        <v>48</v>
      </c>
      <c r="U1010" s="183" t="str">
        <f t="shared" si="353"/>
        <v>1 Hrs</v>
      </c>
    </row>
    <row r="1011" spans="3:21" s="172" customFormat="1" ht="20.25" customHeight="1">
      <c r="C1011" s="185"/>
      <c r="D1011" s="190">
        <f t="shared" si="335"/>
        <v>1011</v>
      </c>
      <c r="E1011" s="194" t="s">
        <v>381</v>
      </c>
      <c r="F1011" s="198">
        <f t="shared" ref="F1011:F1017" si="369">D1010</f>
        <v>1010</v>
      </c>
      <c r="G1011" s="193" t="s">
        <v>115</v>
      </c>
      <c r="H1011" s="193"/>
      <c r="I1011" s="211">
        <v>12</v>
      </c>
      <c r="J1011" s="195" t="str">
        <f>J999</f>
        <v>972 mm lip od</v>
      </c>
      <c r="K1011" s="221">
        <v>1</v>
      </c>
      <c r="L1011" s="195" t="s">
        <v>39</v>
      </c>
      <c r="M1011" s="214">
        <f t="shared" ref="M1011:M1017" si="370">LEFT(J1011,SEARCH(" ",J1011,1)-1)*3.142*K1011*0.001</f>
        <v>3.0540240000000001</v>
      </c>
      <c r="N1011" s="195" t="s">
        <v>249</v>
      </c>
      <c r="O1011" s="233">
        <f>VLOOKUP(I1011,BM!$B$3:$Y$62,17,FALSE)</f>
        <v>2.5</v>
      </c>
      <c r="P1011" s="195" t="s">
        <v>112</v>
      </c>
      <c r="Q1011" s="227">
        <f t="shared" si="368"/>
        <v>7.6350600000000002</v>
      </c>
      <c r="R1011" s="226">
        <v>1</v>
      </c>
      <c r="S1011" s="227">
        <f t="shared" si="355"/>
        <v>8.64</v>
      </c>
      <c r="T1011" s="203" t="s">
        <v>48</v>
      </c>
      <c r="U1011" s="183" t="str">
        <f t="shared" si="353"/>
        <v>8.64 Hrs</v>
      </c>
    </row>
    <row r="1012" spans="3:21" s="172" customFormat="1" ht="20.25" customHeight="1">
      <c r="C1012" s="185"/>
      <c r="D1012" s="190">
        <f t="shared" si="335"/>
        <v>1012</v>
      </c>
      <c r="E1012" s="194" t="s">
        <v>382</v>
      </c>
      <c r="F1012" s="198">
        <f t="shared" si="369"/>
        <v>1011</v>
      </c>
      <c r="G1012" s="193" t="s">
        <v>115</v>
      </c>
      <c r="H1012" s="193"/>
      <c r="I1012" s="211">
        <v>12</v>
      </c>
      <c r="J1012" s="195" t="str">
        <f t="shared" ref="J1012:J1017" si="371">J1011</f>
        <v>972 mm lip od</v>
      </c>
      <c r="K1012" s="221">
        <v>1</v>
      </c>
      <c r="L1012" s="195" t="s">
        <v>39</v>
      </c>
      <c r="M1012" s="214">
        <f t="shared" si="370"/>
        <v>3.0540240000000001</v>
      </c>
      <c r="N1012" s="195" t="s">
        <v>249</v>
      </c>
      <c r="O1012" s="233">
        <f>VLOOKUP(I1012,BM!$B$3:$Y$62,17,FALSE)</f>
        <v>2.5</v>
      </c>
      <c r="P1012" s="195" t="s">
        <v>112</v>
      </c>
      <c r="Q1012" s="227">
        <f t="shared" si="368"/>
        <v>7.6350600000000002</v>
      </c>
      <c r="R1012" s="226">
        <v>1</v>
      </c>
      <c r="S1012" s="227">
        <f t="shared" si="355"/>
        <v>8.64</v>
      </c>
      <c r="T1012" s="203" t="s">
        <v>48</v>
      </c>
      <c r="U1012" s="183" t="str">
        <f t="shared" si="353"/>
        <v>8.64 Hrs</v>
      </c>
    </row>
    <row r="1013" spans="3:21" s="172" customFormat="1" ht="20.25" customHeight="1">
      <c r="C1013" s="185"/>
      <c r="D1013" s="190">
        <f t="shared" si="335"/>
        <v>1013</v>
      </c>
      <c r="E1013" s="194" t="s">
        <v>383</v>
      </c>
      <c r="F1013" s="198">
        <f t="shared" si="369"/>
        <v>1012</v>
      </c>
      <c r="G1013" s="193" t="s">
        <v>115</v>
      </c>
      <c r="H1013" s="193"/>
      <c r="I1013" s="211">
        <v>12</v>
      </c>
      <c r="J1013" s="195" t="str">
        <f t="shared" si="371"/>
        <v>972 mm lip od</v>
      </c>
      <c r="K1013" s="221">
        <v>1</v>
      </c>
      <c r="L1013" s="195" t="s">
        <v>39</v>
      </c>
      <c r="M1013" s="214">
        <f t="shared" si="370"/>
        <v>3.0540240000000001</v>
      </c>
      <c r="N1013" s="195" t="s">
        <v>249</v>
      </c>
      <c r="O1013" s="233">
        <f>VLOOKUP(I1013,BM!$B$3:$Y$62,17,FALSE)</f>
        <v>2.5</v>
      </c>
      <c r="P1013" s="195" t="s">
        <v>112</v>
      </c>
      <c r="Q1013" s="227">
        <f t="shared" si="368"/>
        <v>7.6350600000000002</v>
      </c>
      <c r="R1013" s="226">
        <v>1</v>
      </c>
      <c r="S1013" s="227">
        <f t="shared" si="355"/>
        <v>8.64</v>
      </c>
      <c r="T1013" s="203" t="s">
        <v>48</v>
      </c>
      <c r="U1013" s="183" t="str">
        <f t="shared" si="353"/>
        <v>8.64 Hrs</v>
      </c>
    </row>
    <row r="1014" spans="3:21" s="172" customFormat="1" ht="20.25" customHeight="1">
      <c r="C1014" s="185"/>
      <c r="D1014" s="190">
        <f t="shared" si="335"/>
        <v>1014</v>
      </c>
      <c r="E1014" s="194" t="s">
        <v>384</v>
      </c>
      <c r="F1014" s="198">
        <f t="shared" si="369"/>
        <v>1013</v>
      </c>
      <c r="G1014" s="193" t="s">
        <v>44</v>
      </c>
      <c r="H1014" s="193"/>
      <c r="I1014" s="211">
        <v>12</v>
      </c>
      <c r="J1014" s="195" t="str">
        <f t="shared" si="371"/>
        <v>972 mm lip od</v>
      </c>
      <c r="K1014" s="221">
        <v>2</v>
      </c>
      <c r="L1014" s="195" t="s">
        <v>39</v>
      </c>
      <c r="M1014" s="214">
        <f t="shared" si="370"/>
        <v>6.1080480000000001</v>
      </c>
      <c r="N1014" s="195" t="s">
        <v>249</v>
      </c>
      <c r="O1014" s="205">
        <v>1</v>
      </c>
      <c r="P1014" s="195" t="s">
        <v>112</v>
      </c>
      <c r="Q1014" s="227">
        <f t="shared" si="368"/>
        <v>6.1080480000000001</v>
      </c>
      <c r="R1014" s="226">
        <v>1</v>
      </c>
      <c r="S1014" s="227">
        <f t="shared" si="355"/>
        <v>7.11</v>
      </c>
      <c r="T1014" s="203" t="s">
        <v>48</v>
      </c>
      <c r="U1014" s="183" t="str">
        <f t="shared" si="353"/>
        <v>7.11 Hrs</v>
      </c>
    </row>
    <row r="1015" spans="3:21" s="172" customFormat="1" ht="20.25" customHeight="1">
      <c r="C1015" s="185"/>
      <c r="D1015" s="190">
        <f t="shared" si="335"/>
        <v>1015</v>
      </c>
      <c r="E1015" s="194" t="s">
        <v>385</v>
      </c>
      <c r="F1015" s="198">
        <f t="shared" si="369"/>
        <v>1014</v>
      </c>
      <c r="G1015" s="193" t="s">
        <v>386</v>
      </c>
      <c r="H1015" s="193"/>
      <c r="I1015" s="211">
        <v>8</v>
      </c>
      <c r="J1015" s="195" t="str">
        <f t="shared" si="371"/>
        <v>972 mm lip od</v>
      </c>
      <c r="K1015" s="221">
        <v>1</v>
      </c>
      <c r="L1015" s="195" t="s">
        <v>39</v>
      </c>
      <c r="M1015" s="214">
        <f t="shared" si="370"/>
        <v>3.0540240000000001</v>
      </c>
      <c r="N1015" s="195" t="s">
        <v>249</v>
      </c>
      <c r="O1015" s="233">
        <f>VLOOKUP(I1015,BM!$B$3:$Y$62,17,FALSE)</f>
        <v>1.36</v>
      </c>
      <c r="P1015" s="195" t="s">
        <v>112</v>
      </c>
      <c r="Q1015" s="227">
        <f t="shared" si="368"/>
        <v>4.1534726400000004</v>
      </c>
      <c r="R1015" s="226">
        <v>1</v>
      </c>
      <c r="S1015" s="227">
        <f t="shared" si="355"/>
        <v>5.15</v>
      </c>
      <c r="T1015" s="203" t="s">
        <v>48</v>
      </c>
      <c r="U1015" s="183" t="str">
        <f t="shared" si="353"/>
        <v>5.15 Hrs</v>
      </c>
    </row>
    <row r="1016" spans="3:21" s="172" customFormat="1" ht="20.25" customHeight="1">
      <c r="C1016" s="185"/>
      <c r="D1016" s="190">
        <f t="shared" si="335"/>
        <v>1016</v>
      </c>
      <c r="E1016" s="194" t="s">
        <v>387</v>
      </c>
      <c r="F1016" s="198">
        <f t="shared" si="369"/>
        <v>1015</v>
      </c>
      <c r="G1016" s="193" t="s">
        <v>386</v>
      </c>
      <c r="H1016" s="193"/>
      <c r="I1016" s="211">
        <v>8</v>
      </c>
      <c r="J1016" s="195" t="str">
        <f t="shared" si="371"/>
        <v>972 mm lip od</v>
      </c>
      <c r="K1016" s="221">
        <v>1</v>
      </c>
      <c r="L1016" s="195" t="s">
        <v>39</v>
      </c>
      <c r="M1016" s="214">
        <f t="shared" si="370"/>
        <v>3.0540240000000001</v>
      </c>
      <c r="N1016" s="195" t="s">
        <v>249</v>
      </c>
      <c r="O1016" s="233">
        <f>VLOOKUP(I1016,BM!$B$3:$Y$62,17,FALSE)</f>
        <v>1.36</v>
      </c>
      <c r="P1016" s="195" t="s">
        <v>112</v>
      </c>
      <c r="Q1016" s="227">
        <f t="shared" si="368"/>
        <v>4.1534726400000004</v>
      </c>
      <c r="R1016" s="226">
        <v>1</v>
      </c>
      <c r="S1016" s="227">
        <f t="shared" si="355"/>
        <v>5.15</v>
      </c>
      <c r="T1016" s="203" t="s">
        <v>48</v>
      </c>
      <c r="U1016" s="183" t="str">
        <f t="shared" si="353"/>
        <v>5.15 Hrs</v>
      </c>
    </row>
    <row r="1017" spans="3:21" s="172" customFormat="1" ht="20.25" customHeight="1">
      <c r="C1017" s="185"/>
      <c r="D1017" s="190">
        <f t="shared" si="335"/>
        <v>1017</v>
      </c>
      <c r="E1017" s="194" t="s">
        <v>388</v>
      </c>
      <c r="F1017" s="198">
        <f t="shared" si="369"/>
        <v>1016</v>
      </c>
      <c r="G1017" s="193" t="s">
        <v>386</v>
      </c>
      <c r="H1017" s="193"/>
      <c r="I1017" s="211">
        <v>8</v>
      </c>
      <c r="J1017" s="195" t="str">
        <f t="shared" si="371"/>
        <v>972 mm lip od</v>
      </c>
      <c r="K1017" s="221">
        <v>0</v>
      </c>
      <c r="L1017" s="195" t="s">
        <v>39</v>
      </c>
      <c r="M1017" s="214">
        <f t="shared" si="370"/>
        <v>0</v>
      </c>
      <c r="N1017" s="195" t="s">
        <v>249</v>
      </c>
      <c r="O1017" s="233">
        <f>VLOOKUP(I1017,BM!$B$3:$Y$62,17,FALSE)</f>
        <v>1.36</v>
      </c>
      <c r="P1017" s="195" t="s">
        <v>112</v>
      </c>
      <c r="Q1017" s="227">
        <f t="shared" si="368"/>
        <v>0</v>
      </c>
      <c r="R1017" s="226">
        <v>1</v>
      </c>
      <c r="S1017" s="227">
        <f t="shared" si="355"/>
        <v>1</v>
      </c>
      <c r="T1017" s="203" t="s">
        <v>48</v>
      </c>
      <c r="U1017" s="183" t="str">
        <f t="shared" si="353"/>
        <v>1 Hrs</v>
      </c>
    </row>
    <row r="1018" spans="3:21" s="172" customFormat="1" ht="20.25" customHeight="1">
      <c r="C1018" s="185">
        <f>D1018</f>
        <v>1018</v>
      </c>
      <c r="D1018" s="190">
        <f t="shared" si="335"/>
        <v>1018</v>
      </c>
      <c r="E1018" s="191" t="s">
        <v>389</v>
      </c>
      <c r="F1018" s="197">
        <f>D1009</f>
        <v>1009</v>
      </c>
      <c r="G1018" s="193"/>
      <c r="H1018" s="193"/>
      <c r="I1018" s="195"/>
      <c r="J1018" s="195"/>
      <c r="K1018" s="221"/>
      <c r="L1018" s="195"/>
      <c r="M1018" s="204"/>
      <c r="N1018" s="195"/>
      <c r="O1018" s="205"/>
      <c r="P1018" s="195"/>
      <c r="Q1018" s="227"/>
      <c r="R1018" s="226"/>
      <c r="S1018" s="227"/>
      <c r="T1018" s="203"/>
      <c r="U1018" s="183"/>
    </row>
    <row r="1019" spans="3:21" s="172" customFormat="1" ht="20.25" customHeight="1">
      <c r="C1019" s="185"/>
      <c r="D1019" s="190">
        <f t="shared" si="335"/>
        <v>1019</v>
      </c>
      <c r="E1019" s="194" t="s">
        <v>390</v>
      </c>
      <c r="F1019" s="198"/>
      <c r="G1019" s="193" t="s">
        <v>111</v>
      </c>
      <c r="H1019" s="193"/>
      <c r="I1019" s="211">
        <v>25</v>
      </c>
      <c r="J1019" s="212" t="s">
        <v>391</v>
      </c>
      <c r="K1019" s="221">
        <v>2</v>
      </c>
      <c r="L1019" s="195" t="s">
        <v>39</v>
      </c>
      <c r="M1019" s="214">
        <f>LEFT(J1019,SEARCH(" ",J1019,1)-1)*3.142*K1019*2*0.001</f>
        <v>20.058527999999999</v>
      </c>
      <c r="N1019" s="195" t="s">
        <v>81</v>
      </c>
      <c r="O1019" s="205">
        <v>0.5</v>
      </c>
      <c r="P1019" s="195" t="s">
        <v>162</v>
      </c>
      <c r="Q1019" s="227">
        <f t="shared" ref="Q1019:Q1024" si="372">M1019*O1019</f>
        <v>10.029264</v>
      </c>
      <c r="R1019" s="226">
        <v>1</v>
      </c>
      <c r="S1019" s="227">
        <f t="shared" si="355"/>
        <v>11.03</v>
      </c>
      <c r="T1019" s="203" t="s">
        <v>48</v>
      </c>
      <c r="U1019" s="183" t="str">
        <f t="shared" si="353"/>
        <v>11.03 Hrs</v>
      </c>
    </row>
    <row r="1020" spans="3:21" s="172" customFormat="1" ht="20.25" customHeight="1">
      <c r="C1020" s="185"/>
      <c r="D1020" s="190">
        <f t="shared" si="335"/>
        <v>1020</v>
      </c>
      <c r="E1020" s="194" t="s">
        <v>392</v>
      </c>
      <c r="F1020" s="198">
        <f t="shared" ref="F1020:F1024" si="373">D1019</f>
        <v>1019</v>
      </c>
      <c r="G1020" s="193" t="s">
        <v>156</v>
      </c>
      <c r="H1020" s="193"/>
      <c r="I1020" s="211">
        <v>12</v>
      </c>
      <c r="J1020" s="195" t="str">
        <f>J1019</f>
        <v>1596 mm od</v>
      </c>
      <c r="K1020" s="221">
        <v>2</v>
      </c>
      <c r="L1020" s="195" t="s">
        <v>249</v>
      </c>
      <c r="M1020" s="214">
        <f>LEFT(J1020,SEARCH(" ",J1020,1)-1)*3.142*K1020*2*0.001</f>
        <v>20.058527999999999</v>
      </c>
      <c r="N1020" s="195" t="s">
        <v>249</v>
      </c>
      <c r="O1020" s="233">
        <f>VLOOKUP(I1020,BM!$B$3:$Y$62,22,FALSE)</f>
        <v>1.6</v>
      </c>
      <c r="P1020" s="195" t="s">
        <v>162</v>
      </c>
      <c r="Q1020" s="227">
        <f t="shared" si="372"/>
        <v>32.0936448</v>
      </c>
      <c r="R1020" s="226">
        <v>1</v>
      </c>
      <c r="S1020" s="227">
        <f t="shared" si="355"/>
        <v>33.090000000000003</v>
      </c>
      <c r="T1020" s="203" t="s">
        <v>48</v>
      </c>
      <c r="U1020" s="183" t="str">
        <f t="shared" si="353"/>
        <v>33.09 Hrs</v>
      </c>
    </row>
    <row r="1021" spans="3:21" s="172" customFormat="1" ht="20.25" customHeight="1">
      <c r="C1021" s="185"/>
      <c r="D1021" s="190">
        <f t="shared" si="335"/>
        <v>1021</v>
      </c>
      <c r="E1021" s="194" t="s">
        <v>393</v>
      </c>
      <c r="F1021" s="198">
        <f t="shared" si="373"/>
        <v>1020</v>
      </c>
      <c r="G1021" s="193" t="s">
        <v>394</v>
      </c>
      <c r="H1021" s="193"/>
      <c r="I1021" s="195"/>
      <c r="J1021" s="198" t="str">
        <f>J1020</f>
        <v>1596 mm od</v>
      </c>
      <c r="K1021" s="221">
        <v>2</v>
      </c>
      <c r="L1021" s="195" t="s">
        <v>81</v>
      </c>
      <c r="M1021" s="204">
        <f>K1021</f>
        <v>2</v>
      </c>
      <c r="N1021" s="195" t="s">
        <v>81</v>
      </c>
      <c r="O1021" s="205">
        <v>8</v>
      </c>
      <c r="P1021" s="195" t="s">
        <v>162</v>
      </c>
      <c r="Q1021" s="227">
        <f t="shared" si="372"/>
        <v>16</v>
      </c>
      <c r="R1021" s="226">
        <v>1</v>
      </c>
      <c r="S1021" s="227">
        <f t="shared" si="355"/>
        <v>17</v>
      </c>
      <c r="T1021" s="203" t="s">
        <v>48</v>
      </c>
      <c r="U1021" s="183" t="str">
        <f t="shared" si="353"/>
        <v>17 Hrs</v>
      </c>
    </row>
    <row r="1022" spans="3:21" s="172" customFormat="1" ht="20.25" customHeight="1">
      <c r="C1022" s="185"/>
      <c r="D1022" s="190">
        <f t="shared" si="335"/>
        <v>1022</v>
      </c>
      <c r="E1022" s="194" t="s">
        <v>395</v>
      </c>
      <c r="F1022" s="198">
        <f t="shared" si="373"/>
        <v>1021</v>
      </c>
      <c r="G1022" s="193" t="s">
        <v>396</v>
      </c>
      <c r="H1022" s="193"/>
      <c r="I1022" s="195"/>
      <c r="J1022" s="198" t="str">
        <f>J1021</f>
        <v>1596 mm od</v>
      </c>
      <c r="K1022" s="221">
        <v>2</v>
      </c>
      <c r="L1022" s="195" t="s">
        <v>81</v>
      </c>
      <c r="M1022" s="204">
        <f>K1022</f>
        <v>2</v>
      </c>
      <c r="N1022" s="195" t="s">
        <v>81</v>
      </c>
      <c r="O1022" s="205">
        <v>6</v>
      </c>
      <c r="P1022" s="195" t="s">
        <v>162</v>
      </c>
      <c r="Q1022" s="227">
        <f t="shared" si="372"/>
        <v>12</v>
      </c>
      <c r="R1022" s="226">
        <v>1</v>
      </c>
      <c r="S1022" s="227">
        <f t="shared" si="355"/>
        <v>13</v>
      </c>
      <c r="T1022" s="203" t="s">
        <v>48</v>
      </c>
      <c r="U1022" s="183" t="str">
        <f t="shared" si="353"/>
        <v>13 Hrs</v>
      </c>
    </row>
    <row r="1023" spans="3:21" s="172" customFormat="1" ht="20.25" customHeight="1">
      <c r="C1023" s="185"/>
      <c r="D1023" s="190">
        <f t="shared" si="335"/>
        <v>1023</v>
      </c>
      <c r="E1023" s="194" t="s">
        <v>397</v>
      </c>
      <c r="F1023" s="198">
        <f t="shared" si="373"/>
        <v>1022</v>
      </c>
      <c r="G1023" s="193" t="s">
        <v>156</v>
      </c>
      <c r="H1023" s="193"/>
      <c r="I1023" s="211">
        <v>12</v>
      </c>
      <c r="J1023" s="195" t="s">
        <v>398</v>
      </c>
      <c r="K1023" s="221">
        <v>1</v>
      </c>
      <c r="L1023" s="195" t="s">
        <v>81</v>
      </c>
      <c r="M1023" s="222">
        <f>(300*16+1536*3.142*360^-1*120*2)*2*0.001</f>
        <v>16.034815999999999</v>
      </c>
      <c r="N1023" s="195" t="s">
        <v>249</v>
      </c>
      <c r="O1023" s="233">
        <f>VLOOKUP(I1023,BM!$B$3:$Y$62,22,FALSE)</f>
        <v>1.6</v>
      </c>
      <c r="P1023" s="195" t="s">
        <v>162</v>
      </c>
      <c r="Q1023" s="227">
        <f t="shared" si="372"/>
        <v>25.655705600000001</v>
      </c>
      <c r="R1023" s="226">
        <v>1</v>
      </c>
      <c r="S1023" s="227">
        <f t="shared" si="355"/>
        <v>26.66</v>
      </c>
      <c r="T1023" s="203" t="s">
        <v>48</v>
      </c>
      <c r="U1023" s="183" t="str">
        <f t="shared" si="353"/>
        <v>26.66 Hrs</v>
      </c>
    </row>
    <row r="1024" spans="3:21" s="172" customFormat="1" ht="20.25" customHeight="1">
      <c r="C1024" s="185"/>
      <c r="D1024" s="190">
        <f t="shared" si="335"/>
        <v>1024</v>
      </c>
      <c r="E1024" s="194" t="s">
        <v>399</v>
      </c>
      <c r="F1024" s="198">
        <f t="shared" si="373"/>
        <v>1023</v>
      </c>
      <c r="G1024" s="193" t="s">
        <v>149</v>
      </c>
      <c r="H1024" s="193"/>
      <c r="I1024" s="195"/>
      <c r="J1024" s="195"/>
      <c r="K1024" s="221">
        <v>1</v>
      </c>
      <c r="L1024" s="195" t="s">
        <v>39</v>
      </c>
      <c r="M1024" s="204">
        <v>1</v>
      </c>
      <c r="N1024" s="195" t="s">
        <v>81</v>
      </c>
      <c r="O1024" s="205">
        <v>8</v>
      </c>
      <c r="P1024" s="195" t="s">
        <v>162</v>
      </c>
      <c r="Q1024" s="227">
        <f t="shared" si="372"/>
        <v>8</v>
      </c>
      <c r="R1024" s="226">
        <v>1</v>
      </c>
      <c r="S1024" s="227">
        <f t="shared" si="355"/>
        <v>9</v>
      </c>
      <c r="T1024" s="203" t="s">
        <v>48</v>
      </c>
      <c r="U1024" s="183" t="str">
        <f t="shared" si="353"/>
        <v>9 Hrs</v>
      </c>
    </row>
    <row r="1025" spans="3:21" s="172" customFormat="1" ht="20.25" customHeight="1">
      <c r="C1025" s="185">
        <f>D1025</f>
        <v>1025</v>
      </c>
      <c r="D1025" s="190">
        <f t="shared" si="335"/>
        <v>1025</v>
      </c>
      <c r="E1025" s="191" t="s">
        <v>400</v>
      </c>
      <c r="F1025" s="197">
        <f>D1018</f>
        <v>1018</v>
      </c>
      <c r="G1025" s="193"/>
      <c r="H1025" s="193"/>
      <c r="I1025" s="195"/>
      <c r="J1025" s="195"/>
      <c r="K1025" s="221"/>
      <c r="L1025" s="195"/>
      <c r="M1025" s="204"/>
      <c r="N1025" s="195"/>
      <c r="O1025" s="205"/>
      <c r="P1025" s="195"/>
      <c r="Q1025" s="227"/>
      <c r="R1025" s="226"/>
      <c r="S1025" s="227"/>
      <c r="T1025" s="203"/>
      <c r="U1025" s="183"/>
    </row>
    <row r="1026" spans="3:21" s="172" customFormat="1" ht="20.25" customHeight="1">
      <c r="C1026" s="185"/>
      <c r="D1026" s="190">
        <f t="shared" si="335"/>
        <v>1026</v>
      </c>
      <c r="E1026" s="194" t="s">
        <v>401</v>
      </c>
      <c r="F1026" s="198"/>
      <c r="G1026" s="193" t="s">
        <v>402</v>
      </c>
      <c r="H1026" s="193"/>
      <c r="I1026" s="195"/>
      <c r="J1026" s="195"/>
      <c r="K1026" s="221">
        <v>1</v>
      </c>
      <c r="L1026" s="195" t="s">
        <v>39</v>
      </c>
      <c r="M1026" s="204">
        <v>1</v>
      </c>
      <c r="N1026" s="195" t="s">
        <v>81</v>
      </c>
      <c r="O1026" s="205">
        <v>4</v>
      </c>
      <c r="P1026" s="195" t="s">
        <v>162</v>
      </c>
      <c r="Q1026" s="227">
        <f t="shared" ref="Q1026:Q1028" si="374">M1026*O1026</f>
        <v>4</v>
      </c>
      <c r="R1026" s="226">
        <v>1</v>
      </c>
      <c r="S1026" s="227">
        <f t="shared" si="355"/>
        <v>5</v>
      </c>
      <c r="T1026" s="203" t="s">
        <v>48</v>
      </c>
      <c r="U1026" s="183" t="str">
        <f t="shared" si="353"/>
        <v>5 Hrs</v>
      </c>
    </row>
    <row r="1027" spans="3:21" s="172" customFormat="1" ht="20.25" customHeight="1">
      <c r="C1027" s="185"/>
      <c r="D1027" s="190">
        <f t="shared" ref="D1027:D1090" si="375">D1026+1</f>
        <v>1027</v>
      </c>
      <c r="E1027" s="194" t="s">
        <v>403</v>
      </c>
      <c r="F1027" s="198">
        <f t="shared" ref="F1027:F1028" si="376">D1026</f>
        <v>1026</v>
      </c>
      <c r="G1027" s="193" t="s">
        <v>172</v>
      </c>
      <c r="H1027" s="193"/>
      <c r="I1027" s="195"/>
      <c r="J1027" s="195"/>
      <c r="K1027" s="221">
        <v>1</v>
      </c>
      <c r="L1027" s="195" t="s">
        <v>39</v>
      </c>
      <c r="M1027" s="204">
        <v>1</v>
      </c>
      <c r="N1027" s="195" t="s">
        <v>81</v>
      </c>
      <c r="O1027" s="205">
        <v>4</v>
      </c>
      <c r="P1027" s="195" t="s">
        <v>162</v>
      </c>
      <c r="Q1027" s="227">
        <f t="shared" si="374"/>
        <v>4</v>
      </c>
      <c r="R1027" s="226">
        <v>1</v>
      </c>
      <c r="S1027" s="227">
        <f t="shared" si="355"/>
        <v>5</v>
      </c>
      <c r="T1027" s="203" t="s">
        <v>48</v>
      </c>
      <c r="U1027" s="183" t="str">
        <f t="shared" si="353"/>
        <v>5 Hrs</v>
      </c>
    </row>
    <row r="1028" spans="3:21" s="172" customFormat="1" ht="20.25" customHeight="1">
      <c r="C1028" s="185"/>
      <c r="D1028" s="190">
        <f t="shared" si="375"/>
        <v>1028</v>
      </c>
      <c r="E1028" s="194" t="s">
        <v>404</v>
      </c>
      <c r="F1028" s="198">
        <f t="shared" si="376"/>
        <v>1027</v>
      </c>
      <c r="G1028" s="193" t="s">
        <v>115</v>
      </c>
      <c r="H1028" s="193"/>
      <c r="I1028" s="211">
        <v>12</v>
      </c>
      <c r="J1028" s="195"/>
      <c r="K1028" s="221">
        <v>6</v>
      </c>
      <c r="L1028" s="195" t="s">
        <v>139</v>
      </c>
      <c r="M1028" s="222">
        <f>430*12*0.001</f>
        <v>5.16</v>
      </c>
      <c r="N1028" s="195" t="s">
        <v>249</v>
      </c>
      <c r="O1028" s="233">
        <f>VLOOKUP(I1028,BM!$B$3:$Y$62,22,FALSE)</f>
        <v>1.6</v>
      </c>
      <c r="P1028" s="195" t="s">
        <v>162</v>
      </c>
      <c r="Q1028" s="227">
        <f t="shared" si="374"/>
        <v>8.2560000000000002</v>
      </c>
      <c r="R1028" s="226">
        <v>1</v>
      </c>
      <c r="S1028" s="227">
        <f t="shared" si="355"/>
        <v>9.26</v>
      </c>
      <c r="T1028" s="203" t="s">
        <v>48</v>
      </c>
      <c r="U1028" s="183" t="str">
        <f t="shared" si="353"/>
        <v>9.26 Hrs</v>
      </c>
    </row>
    <row r="1029" spans="3:21" s="172" customFormat="1" ht="20.25" customHeight="1">
      <c r="C1029" s="185">
        <f>D1029</f>
        <v>1029</v>
      </c>
      <c r="D1029" s="190">
        <f t="shared" si="375"/>
        <v>1029</v>
      </c>
      <c r="E1029" s="191" t="s">
        <v>405</v>
      </c>
      <c r="F1029" s="236">
        <v>1025</v>
      </c>
      <c r="G1029" s="193"/>
      <c r="H1029" s="193"/>
      <c r="I1029" s="195"/>
      <c r="J1029" s="195"/>
      <c r="K1029" s="221"/>
      <c r="L1029" s="195"/>
      <c r="M1029" s="204"/>
      <c r="N1029" s="195"/>
      <c r="O1029" s="205"/>
      <c r="P1029" s="195"/>
      <c r="Q1029" s="227"/>
      <c r="R1029" s="226"/>
      <c r="S1029" s="227"/>
      <c r="T1029" s="203"/>
      <c r="U1029" s="183"/>
    </row>
    <row r="1030" spans="3:21" s="172" customFormat="1" ht="20.25" customHeight="1">
      <c r="C1030" s="185"/>
      <c r="D1030" s="190">
        <f t="shared" si="375"/>
        <v>1030</v>
      </c>
      <c r="E1030" s="194" t="s">
        <v>406</v>
      </c>
      <c r="F1030" s="198"/>
      <c r="G1030" s="193" t="s">
        <v>44</v>
      </c>
      <c r="H1030" s="193"/>
      <c r="I1030" s="211">
        <v>18</v>
      </c>
      <c r="J1030" s="221" t="s">
        <v>407</v>
      </c>
      <c r="K1030" s="221">
        <v>1</v>
      </c>
      <c r="L1030" s="195" t="s">
        <v>39</v>
      </c>
      <c r="M1030" s="204">
        <v>1</v>
      </c>
      <c r="N1030" s="195"/>
      <c r="O1030" s="205">
        <v>12</v>
      </c>
      <c r="P1030" s="195" t="s">
        <v>162</v>
      </c>
      <c r="Q1030" s="227">
        <f t="shared" ref="Q1030:Q1031" si="377">M1030*O1030</f>
        <v>12</v>
      </c>
      <c r="R1030" s="226">
        <v>1</v>
      </c>
      <c r="S1030" s="227">
        <f t="shared" si="355"/>
        <v>13</v>
      </c>
      <c r="T1030" s="203" t="s">
        <v>48</v>
      </c>
      <c r="U1030" s="183" t="str">
        <f t="shared" si="353"/>
        <v>13 Hrs</v>
      </c>
    </row>
    <row r="1031" spans="3:21" s="172" customFormat="1" ht="20.25" customHeight="1">
      <c r="C1031" s="185"/>
      <c r="D1031" s="190">
        <f t="shared" si="375"/>
        <v>1031</v>
      </c>
      <c r="E1031" s="194" t="s">
        <v>64</v>
      </c>
      <c r="F1031" s="198">
        <f t="shared" ref="F1031" si="378">D1030</f>
        <v>1030</v>
      </c>
      <c r="G1031" s="193" t="s">
        <v>44</v>
      </c>
      <c r="H1031" s="193"/>
      <c r="I1031" s="211">
        <v>18</v>
      </c>
      <c r="J1031" s="212" t="str">
        <f>J1030</f>
        <v>6130 lg</v>
      </c>
      <c r="K1031" s="212">
        <f>K1030</f>
        <v>1</v>
      </c>
      <c r="L1031" s="198" t="str">
        <f>L1030</f>
        <v>No</v>
      </c>
      <c r="M1031" s="222">
        <f>M1030</f>
        <v>1</v>
      </c>
      <c r="N1031" s="195"/>
      <c r="O1031" s="205">
        <v>1</v>
      </c>
      <c r="P1031" s="195" t="s">
        <v>41</v>
      </c>
      <c r="Q1031" s="227">
        <f t="shared" si="377"/>
        <v>1</v>
      </c>
      <c r="R1031" s="226"/>
      <c r="S1031" s="227">
        <f t="shared" si="355"/>
        <v>1</v>
      </c>
      <c r="T1031" s="203" t="s">
        <v>42</v>
      </c>
      <c r="U1031" s="183" t="str">
        <f t="shared" si="353"/>
        <v>1 Days</v>
      </c>
    </row>
    <row r="1032" spans="3:21" s="172" customFormat="1" ht="20.25" customHeight="1">
      <c r="C1032" s="185">
        <f t="shared" ref="C1032:C1033" si="379">D1032</f>
        <v>1032</v>
      </c>
      <c r="D1032" s="190">
        <f t="shared" si="375"/>
        <v>1032</v>
      </c>
      <c r="E1032" s="238" t="s">
        <v>408</v>
      </c>
      <c r="F1032" s="197"/>
      <c r="G1032" s="193"/>
      <c r="H1032" s="193"/>
      <c r="I1032" s="195"/>
      <c r="J1032" s="195"/>
      <c r="K1032" s="221"/>
      <c r="L1032" s="195"/>
      <c r="M1032" s="204"/>
      <c r="N1032" s="195"/>
      <c r="O1032" s="205"/>
      <c r="P1032" s="195"/>
      <c r="Q1032" s="227"/>
      <c r="R1032" s="226"/>
      <c r="S1032" s="227"/>
      <c r="T1032" s="203"/>
      <c r="U1032" s="183"/>
    </row>
    <row r="1033" spans="3:21" s="172" customFormat="1" ht="20.25" customHeight="1">
      <c r="C1033" s="185">
        <f t="shared" si="379"/>
        <v>1033</v>
      </c>
      <c r="D1033" s="190">
        <f t="shared" si="375"/>
        <v>1033</v>
      </c>
      <c r="E1033" s="191" t="s">
        <v>409</v>
      </c>
      <c r="F1033" s="197">
        <f>D1101</f>
        <v>1101</v>
      </c>
      <c r="G1033" s="193"/>
      <c r="H1033" s="193"/>
      <c r="I1033" s="195"/>
      <c r="J1033" s="195"/>
      <c r="K1033" s="221"/>
      <c r="L1033" s="195"/>
      <c r="M1033" s="204"/>
      <c r="N1033" s="195"/>
      <c r="O1033" s="205"/>
      <c r="P1033" s="195"/>
      <c r="Q1033" s="227"/>
      <c r="R1033" s="226"/>
      <c r="S1033" s="227"/>
      <c r="T1033" s="203"/>
      <c r="U1033" s="183"/>
    </row>
    <row r="1034" spans="3:21" s="172" customFormat="1" ht="20.25" customHeight="1">
      <c r="C1034" s="185"/>
      <c r="D1034" s="190">
        <f t="shared" si="375"/>
        <v>1034</v>
      </c>
      <c r="E1034" s="194" t="s">
        <v>410</v>
      </c>
      <c r="F1034" s="198"/>
      <c r="G1034" s="193" t="s">
        <v>37</v>
      </c>
      <c r="H1034" s="193"/>
      <c r="I1034" s="195"/>
      <c r="J1034" s="195"/>
      <c r="K1034" s="221">
        <v>1</v>
      </c>
      <c r="L1034" s="195" t="s">
        <v>39</v>
      </c>
      <c r="M1034" s="204">
        <v>1</v>
      </c>
      <c r="N1034" s="195" t="s">
        <v>39</v>
      </c>
      <c r="O1034" s="205">
        <v>4</v>
      </c>
      <c r="P1034" s="195" t="s">
        <v>41</v>
      </c>
      <c r="Q1034" s="227">
        <f t="shared" ref="Q1034:Q1039" si="380">M1034*O1034</f>
        <v>4</v>
      </c>
      <c r="R1034" s="226"/>
      <c r="S1034" s="227">
        <f t="shared" si="355"/>
        <v>4</v>
      </c>
      <c r="T1034" s="203" t="s">
        <v>42</v>
      </c>
      <c r="U1034" s="183" t="str">
        <f t="shared" si="353"/>
        <v>4 Days</v>
      </c>
    </row>
    <row r="1035" spans="3:21" s="172" customFormat="1" ht="20.25" customHeight="1">
      <c r="C1035" s="185"/>
      <c r="D1035" s="190">
        <f t="shared" si="375"/>
        <v>1035</v>
      </c>
      <c r="E1035" s="194" t="s">
        <v>411</v>
      </c>
      <c r="F1035" s="198">
        <f t="shared" ref="F1035:F1039" si="381">D1034</f>
        <v>1034</v>
      </c>
      <c r="G1035" s="193" t="s">
        <v>201</v>
      </c>
      <c r="H1035" s="193"/>
      <c r="I1035" s="211">
        <v>18</v>
      </c>
      <c r="J1035" s="221" t="s">
        <v>412</v>
      </c>
      <c r="K1035" s="221">
        <v>1</v>
      </c>
      <c r="L1035" s="195" t="s">
        <v>81</v>
      </c>
      <c r="M1035" s="214">
        <f t="shared" ref="M1035:M1039" si="382">LEFT(J1035,SEARCH(" ",J1035,1)-1)*K1035*0.001</f>
        <v>0.83100000000000007</v>
      </c>
      <c r="N1035" s="195" t="s">
        <v>139</v>
      </c>
      <c r="O1035" s="233">
        <f>VLOOKUP(I1035,BM!$B$3:$Y$62,2,FALSE)</f>
        <v>0.1</v>
      </c>
      <c r="P1035" s="195" t="s">
        <v>112</v>
      </c>
      <c r="Q1035" s="227">
        <f t="shared" si="380"/>
        <v>8.3100000000000007E-2</v>
      </c>
      <c r="R1035" s="226">
        <v>1</v>
      </c>
      <c r="S1035" s="227">
        <f t="shared" si="355"/>
        <v>1.08</v>
      </c>
      <c r="T1035" s="203" t="s">
        <v>48</v>
      </c>
      <c r="U1035" s="183" t="str">
        <f t="shared" si="353"/>
        <v>1.08 Hrs</v>
      </c>
    </row>
    <row r="1036" spans="3:21" s="172" customFormat="1" ht="20.25" customHeight="1">
      <c r="C1036" s="185"/>
      <c r="D1036" s="190">
        <f t="shared" si="375"/>
        <v>1036</v>
      </c>
      <c r="E1036" s="194" t="s">
        <v>413</v>
      </c>
      <c r="F1036" s="198">
        <f t="shared" si="381"/>
        <v>1035</v>
      </c>
      <c r="G1036" s="193" t="s">
        <v>52</v>
      </c>
      <c r="H1036" s="193"/>
      <c r="I1036" s="220">
        <f t="shared" ref="I1036:J1036" si="383">I1035</f>
        <v>18</v>
      </c>
      <c r="J1036" s="198" t="str">
        <f t="shared" si="383"/>
        <v>831 mm</v>
      </c>
      <c r="K1036" s="221">
        <v>1</v>
      </c>
      <c r="L1036" s="195" t="s">
        <v>81</v>
      </c>
      <c r="M1036" s="214">
        <f t="shared" si="382"/>
        <v>0.83100000000000007</v>
      </c>
      <c r="N1036" s="195" t="s">
        <v>139</v>
      </c>
      <c r="O1036" s="233">
        <f>VLOOKUP(I1036,BM!$B$3:$Y$62,3,FALSE)</f>
        <v>0.25</v>
      </c>
      <c r="P1036" s="195" t="s">
        <v>112</v>
      </c>
      <c r="Q1036" s="227">
        <f t="shared" si="380"/>
        <v>0.20775000000000002</v>
      </c>
      <c r="R1036" s="226">
        <v>1</v>
      </c>
      <c r="S1036" s="227">
        <f t="shared" si="355"/>
        <v>1.21</v>
      </c>
      <c r="T1036" s="203" t="s">
        <v>48</v>
      </c>
      <c r="U1036" s="183" t="str">
        <f t="shared" si="353"/>
        <v>1.21 Hrs</v>
      </c>
    </row>
    <row r="1037" spans="3:21" s="172" customFormat="1" ht="20.25" customHeight="1">
      <c r="C1037" s="185"/>
      <c r="D1037" s="190">
        <f t="shared" si="375"/>
        <v>1037</v>
      </c>
      <c r="E1037" s="194" t="s">
        <v>414</v>
      </c>
      <c r="F1037" s="198">
        <f t="shared" si="381"/>
        <v>1036</v>
      </c>
      <c r="G1037" s="193" t="s">
        <v>61</v>
      </c>
      <c r="H1037" s="193"/>
      <c r="I1037" s="220">
        <f t="shared" ref="I1037:J1037" si="384">I1036</f>
        <v>18</v>
      </c>
      <c r="J1037" s="198" t="str">
        <f t="shared" si="384"/>
        <v>831 mm</v>
      </c>
      <c r="K1037" s="221">
        <v>1</v>
      </c>
      <c r="L1037" s="195" t="s">
        <v>81</v>
      </c>
      <c r="M1037" s="214">
        <f t="shared" si="382"/>
        <v>0.83100000000000007</v>
      </c>
      <c r="N1037" s="195" t="s">
        <v>139</v>
      </c>
      <c r="O1037" s="233">
        <f>VLOOKUP(I1037,BM!$B$3:$Y$62,4,FALSE)</f>
        <v>0.15</v>
      </c>
      <c r="P1037" s="195" t="s">
        <v>112</v>
      </c>
      <c r="Q1037" s="227">
        <f t="shared" si="380"/>
        <v>0.12465000000000001</v>
      </c>
      <c r="R1037" s="226">
        <v>1</v>
      </c>
      <c r="S1037" s="227">
        <f t="shared" si="355"/>
        <v>1.1200000000000001</v>
      </c>
      <c r="T1037" s="203" t="s">
        <v>48</v>
      </c>
      <c r="U1037" s="183" t="str">
        <f t="shared" si="353"/>
        <v>1.12 Hrs</v>
      </c>
    </row>
    <row r="1038" spans="3:21" s="172" customFormat="1" ht="20.25" customHeight="1">
      <c r="C1038" s="185"/>
      <c r="D1038" s="190">
        <f t="shared" si="375"/>
        <v>1038</v>
      </c>
      <c r="E1038" s="194" t="s">
        <v>415</v>
      </c>
      <c r="F1038" s="198">
        <f t="shared" si="381"/>
        <v>1037</v>
      </c>
      <c r="G1038" s="193" t="s">
        <v>224</v>
      </c>
      <c r="H1038" s="193"/>
      <c r="I1038" s="220">
        <f t="shared" ref="I1038:J1038" si="385">I1037</f>
        <v>18</v>
      </c>
      <c r="J1038" s="198" t="str">
        <f t="shared" si="385"/>
        <v>831 mm</v>
      </c>
      <c r="K1038" s="221">
        <v>1</v>
      </c>
      <c r="L1038" s="195" t="s">
        <v>81</v>
      </c>
      <c r="M1038" s="214">
        <f t="shared" si="382"/>
        <v>0.83100000000000007</v>
      </c>
      <c r="N1038" s="195" t="s">
        <v>139</v>
      </c>
      <c r="O1038" s="233">
        <f>VLOOKUP(I1038,BM!$B$3:$Y$62,5,FALSE)</f>
        <v>0.5</v>
      </c>
      <c r="P1038" s="195" t="s">
        <v>112</v>
      </c>
      <c r="Q1038" s="227">
        <f t="shared" si="380"/>
        <v>0.41550000000000004</v>
      </c>
      <c r="R1038" s="226">
        <v>1</v>
      </c>
      <c r="S1038" s="227">
        <f t="shared" si="355"/>
        <v>1.42</v>
      </c>
      <c r="T1038" s="203" t="s">
        <v>48</v>
      </c>
      <c r="U1038" s="183" t="str">
        <f t="shared" si="353"/>
        <v>1.42 Hrs</v>
      </c>
    </row>
    <row r="1039" spans="3:21" s="172" customFormat="1" ht="20.25" customHeight="1">
      <c r="C1039" s="185"/>
      <c r="D1039" s="190">
        <f t="shared" si="375"/>
        <v>1039</v>
      </c>
      <c r="E1039" s="194" t="s">
        <v>416</v>
      </c>
      <c r="F1039" s="198">
        <f t="shared" si="381"/>
        <v>1038</v>
      </c>
      <c r="G1039" s="193" t="s">
        <v>61</v>
      </c>
      <c r="H1039" s="193"/>
      <c r="I1039" s="220">
        <f t="shared" ref="I1039:J1039" si="386">I1038</f>
        <v>18</v>
      </c>
      <c r="J1039" s="198" t="str">
        <f t="shared" si="386"/>
        <v>831 mm</v>
      </c>
      <c r="K1039" s="221">
        <v>1</v>
      </c>
      <c r="L1039" s="195" t="s">
        <v>81</v>
      </c>
      <c r="M1039" s="214">
        <f t="shared" si="382"/>
        <v>0.83100000000000007</v>
      </c>
      <c r="N1039" s="195" t="s">
        <v>139</v>
      </c>
      <c r="O1039" s="233">
        <f>VLOOKUP(I1039,BM!$B$3:$Y$62,6,FALSE)</f>
        <v>1</v>
      </c>
      <c r="P1039" s="195" t="s">
        <v>112</v>
      </c>
      <c r="Q1039" s="227">
        <f t="shared" si="380"/>
        <v>0.83100000000000007</v>
      </c>
      <c r="R1039" s="226">
        <v>1</v>
      </c>
      <c r="S1039" s="227">
        <f t="shared" si="355"/>
        <v>1.83</v>
      </c>
      <c r="T1039" s="203" t="s">
        <v>48</v>
      </c>
      <c r="U1039" s="183" t="str">
        <f t="shared" si="353"/>
        <v>1.83 Hrs</v>
      </c>
    </row>
    <row r="1040" spans="3:21" s="172" customFormat="1" ht="20.25" customHeight="1">
      <c r="C1040" s="185">
        <f>D1040</f>
        <v>1040</v>
      </c>
      <c r="D1040" s="190">
        <f t="shared" si="375"/>
        <v>1040</v>
      </c>
      <c r="E1040" s="191" t="s">
        <v>417</v>
      </c>
      <c r="F1040" s="197">
        <f>D1033</f>
        <v>1033</v>
      </c>
      <c r="G1040" s="193"/>
      <c r="H1040" s="193"/>
      <c r="I1040" s="195"/>
      <c r="J1040" s="195"/>
      <c r="K1040" s="221"/>
      <c r="L1040" s="195"/>
      <c r="M1040" s="204"/>
      <c r="N1040" s="195"/>
      <c r="O1040" s="205"/>
      <c r="P1040" s="195"/>
      <c r="Q1040" s="227"/>
      <c r="R1040" s="226"/>
      <c r="S1040" s="227"/>
      <c r="T1040" s="203"/>
      <c r="U1040" s="183"/>
    </row>
    <row r="1041" spans="3:21" s="172" customFormat="1" ht="20.25" customHeight="1">
      <c r="C1041" s="185"/>
      <c r="D1041" s="190">
        <f t="shared" si="375"/>
        <v>1041</v>
      </c>
      <c r="E1041" s="194" t="s">
        <v>418</v>
      </c>
      <c r="F1041" s="198"/>
      <c r="G1041" s="193" t="s">
        <v>286</v>
      </c>
      <c r="H1041" s="193"/>
      <c r="I1041" s="220">
        <f>I1039</f>
        <v>18</v>
      </c>
      <c r="J1041" s="198" t="str">
        <f>J1039</f>
        <v>831 mm</v>
      </c>
      <c r="K1041" s="221">
        <v>1</v>
      </c>
      <c r="L1041" s="195" t="s">
        <v>81</v>
      </c>
      <c r="M1041" s="204">
        <v>1</v>
      </c>
      <c r="N1041" s="195" t="s">
        <v>139</v>
      </c>
      <c r="O1041" s="205">
        <v>3</v>
      </c>
      <c r="P1041" s="195" t="s">
        <v>112</v>
      </c>
      <c r="Q1041" s="227">
        <f t="shared" ref="Q1041:Q1044" si="387">M1041*O1041</f>
        <v>3</v>
      </c>
      <c r="R1041" s="226">
        <v>1</v>
      </c>
      <c r="S1041" s="227">
        <f t="shared" si="355"/>
        <v>4</v>
      </c>
      <c r="T1041" s="203" t="s">
        <v>48</v>
      </c>
      <c r="U1041" s="183" t="str">
        <f t="shared" si="353"/>
        <v>4 Hrs</v>
      </c>
    </row>
    <row r="1042" spans="3:21" s="172" customFormat="1" ht="20.25" customHeight="1">
      <c r="C1042" s="185"/>
      <c r="D1042" s="190">
        <f t="shared" si="375"/>
        <v>1042</v>
      </c>
      <c r="E1042" s="194" t="s">
        <v>419</v>
      </c>
      <c r="F1042" s="198">
        <f t="shared" ref="F1042:F1044" si="388">D1041</f>
        <v>1041</v>
      </c>
      <c r="G1042" s="193" t="s">
        <v>420</v>
      </c>
      <c r="H1042" s="193"/>
      <c r="I1042" s="220">
        <f t="shared" ref="I1042:J1042" si="389">I1041</f>
        <v>18</v>
      </c>
      <c r="J1042" s="198" t="str">
        <f t="shared" si="389"/>
        <v>831 mm</v>
      </c>
      <c r="K1042" s="221">
        <v>1</v>
      </c>
      <c r="L1042" s="195" t="s">
        <v>81</v>
      </c>
      <c r="M1042" s="214">
        <f>LEFT(J1042,SEARCH(" ",J1042,1)-1)*K1042*0.001*2</f>
        <v>1.6620000000000001</v>
      </c>
      <c r="N1042" s="195" t="s">
        <v>139</v>
      </c>
      <c r="O1042" s="233">
        <f>VLOOKUP(I1042,BM!$B$3:$Y$62,8,FALSE)</f>
        <v>0.3</v>
      </c>
      <c r="P1042" s="195" t="s">
        <v>112</v>
      </c>
      <c r="Q1042" s="227">
        <f t="shared" si="387"/>
        <v>0.49860000000000004</v>
      </c>
      <c r="R1042" s="226">
        <v>1</v>
      </c>
      <c r="S1042" s="227">
        <f t="shared" si="355"/>
        <v>1.5</v>
      </c>
      <c r="T1042" s="203" t="s">
        <v>48</v>
      </c>
      <c r="U1042" s="183" t="str">
        <f t="shared" si="353"/>
        <v>1.5 Hrs</v>
      </c>
    </row>
    <row r="1043" spans="3:21" s="172" customFormat="1" ht="20.25" customHeight="1">
      <c r="C1043" s="185"/>
      <c r="D1043" s="190">
        <f t="shared" si="375"/>
        <v>1043</v>
      </c>
      <c r="E1043" s="194" t="s">
        <v>421</v>
      </c>
      <c r="F1043" s="198">
        <f t="shared" si="388"/>
        <v>1042</v>
      </c>
      <c r="G1043" s="193" t="s">
        <v>348</v>
      </c>
      <c r="H1043" s="193"/>
      <c r="I1043" s="220">
        <f t="shared" ref="I1043:J1043" si="390">I1042</f>
        <v>18</v>
      </c>
      <c r="J1043" s="198" t="str">
        <f t="shared" si="390"/>
        <v>831 mm</v>
      </c>
      <c r="K1043" s="221">
        <v>1</v>
      </c>
      <c r="L1043" s="195" t="s">
        <v>81</v>
      </c>
      <c r="M1043" s="214">
        <f>LEFT(J1043,SEARCH(" ",J1043,1)-1)*K1043*0.001*2</f>
        <v>1.6620000000000001</v>
      </c>
      <c r="N1043" s="195" t="s">
        <v>139</v>
      </c>
      <c r="O1043" s="233">
        <f>VLOOKUP(I1043,BM!$B$3:$Y$62,9,FALSE)</f>
        <v>1</v>
      </c>
      <c r="P1043" s="195" t="s">
        <v>112</v>
      </c>
      <c r="Q1043" s="227">
        <f t="shared" si="387"/>
        <v>1.6620000000000001</v>
      </c>
      <c r="R1043" s="226">
        <v>1</v>
      </c>
      <c r="S1043" s="227">
        <f t="shared" si="355"/>
        <v>2.66</v>
      </c>
      <c r="T1043" s="203" t="s">
        <v>48</v>
      </c>
      <c r="U1043" s="183" t="str">
        <f t="shared" si="353"/>
        <v>2.66 Hrs</v>
      </c>
    </row>
    <row r="1044" spans="3:21" s="172" customFormat="1" ht="20.25" customHeight="1">
      <c r="C1044" s="185"/>
      <c r="D1044" s="190">
        <f t="shared" si="375"/>
        <v>1044</v>
      </c>
      <c r="E1044" s="194" t="s">
        <v>422</v>
      </c>
      <c r="F1044" s="198">
        <f t="shared" si="388"/>
        <v>1043</v>
      </c>
      <c r="G1044" s="193" t="s">
        <v>286</v>
      </c>
      <c r="H1044" s="193"/>
      <c r="I1044" s="220">
        <f t="shared" ref="I1044:J1044" si="391">I1043</f>
        <v>18</v>
      </c>
      <c r="J1044" s="198" t="str">
        <f t="shared" si="391"/>
        <v>831 mm</v>
      </c>
      <c r="K1044" s="221">
        <v>1</v>
      </c>
      <c r="L1044" s="195" t="s">
        <v>81</v>
      </c>
      <c r="M1044" s="214">
        <v>1</v>
      </c>
      <c r="N1044" s="195" t="s">
        <v>39</v>
      </c>
      <c r="O1044" s="205">
        <v>3</v>
      </c>
      <c r="P1044" s="195" t="s">
        <v>112</v>
      </c>
      <c r="Q1044" s="227">
        <f t="shared" si="387"/>
        <v>3</v>
      </c>
      <c r="R1044" s="226">
        <v>1</v>
      </c>
      <c r="S1044" s="227">
        <f t="shared" si="355"/>
        <v>4</v>
      </c>
      <c r="T1044" s="203" t="s">
        <v>48</v>
      </c>
      <c r="U1044" s="183" t="str">
        <f t="shared" si="353"/>
        <v>4 Hrs</v>
      </c>
    </row>
    <row r="1045" spans="3:21" s="172" customFormat="1" ht="20.25" customHeight="1">
      <c r="C1045" s="185">
        <f>D1045</f>
        <v>1045</v>
      </c>
      <c r="D1045" s="190">
        <f t="shared" si="375"/>
        <v>1045</v>
      </c>
      <c r="E1045" s="191" t="s">
        <v>423</v>
      </c>
      <c r="F1045" s="197">
        <f>D1040</f>
        <v>1040</v>
      </c>
      <c r="G1045" s="193"/>
      <c r="H1045" s="193"/>
      <c r="I1045" s="195"/>
      <c r="J1045" s="195"/>
      <c r="K1045" s="221"/>
      <c r="L1045" s="195"/>
      <c r="M1045" s="204"/>
      <c r="N1045" s="195"/>
      <c r="O1045" s="205"/>
      <c r="P1045" s="195"/>
      <c r="Q1045" s="227"/>
      <c r="R1045" s="226"/>
      <c r="S1045" s="227"/>
      <c r="T1045" s="203"/>
      <c r="U1045" s="183"/>
    </row>
    <row r="1046" spans="3:21" s="172" customFormat="1" ht="20.25" customHeight="1">
      <c r="C1046" s="185"/>
      <c r="D1046" s="190">
        <f t="shared" si="375"/>
        <v>1046</v>
      </c>
      <c r="E1046" s="194" t="s">
        <v>424</v>
      </c>
      <c r="F1046" s="198"/>
      <c r="G1046" s="193" t="s">
        <v>348</v>
      </c>
      <c r="H1046" s="193"/>
      <c r="I1046" s="211">
        <v>18</v>
      </c>
      <c r="J1046" s="198" t="str">
        <f>J1044</f>
        <v>831 mm</v>
      </c>
      <c r="K1046" s="221">
        <v>1</v>
      </c>
      <c r="L1046" s="195" t="s">
        <v>81</v>
      </c>
      <c r="M1046" s="214">
        <f>LEFT(J1046,SEARCH(" ",J1046,1)-1)*K1046*0.001*2</f>
        <v>1.6620000000000001</v>
      </c>
      <c r="N1046" s="195" t="s">
        <v>139</v>
      </c>
      <c r="O1046" s="233">
        <f>VLOOKUP(I1046,BM!$B$3:$Y$62,9,FALSE)</f>
        <v>1</v>
      </c>
      <c r="P1046" s="195" t="s">
        <v>112</v>
      </c>
      <c r="Q1046" s="227">
        <f t="shared" ref="Q1046:Q1047" si="392">M1046*O1046</f>
        <v>1.6620000000000001</v>
      </c>
      <c r="R1046" s="226">
        <v>1</v>
      </c>
      <c r="S1046" s="227">
        <f t="shared" si="355"/>
        <v>2.66</v>
      </c>
      <c r="T1046" s="203" t="s">
        <v>48</v>
      </c>
      <c r="U1046" s="183" t="str">
        <f t="shared" si="353"/>
        <v>2.66 Hrs</v>
      </c>
    </row>
    <row r="1047" spans="3:21" s="172" customFormat="1" ht="20.25" customHeight="1">
      <c r="C1047" s="185"/>
      <c r="D1047" s="190">
        <f t="shared" si="375"/>
        <v>1047</v>
      </c>
      <c r="E1047" s="194" t="s">
        <v>425</v>
      </c>
      <c r="F1047" s="198">
        <f t="shared" ref="F1047" si="393">D1046</f>
        <v>1046</v>
      </c>
      <c r="G1047" s="193" t="s">
        <v>111</v>
      </c>
      <c r="H1047" s="193"/>
      <c r="I1047" s="211">
        <v>18</v>
      </c>
      <c r="J1047" s="198" t="str">
        <f>J1046</f>
        <v>831 mm</v>
      </c>
      <c r="K1047" s="221">
        <v>1</v>
      </c>
      <c r="L1047" s="195" t="s">
        <v>81</v>
      </c>
      <c r="M1047" s="214">
        <f>LEFT(J1047,SEARCH(" ",J1047,1)-1)*K1047*0.001</f>
        <v>0.83100000000000007</v>
      </c>
      <c r="N1047" s="195" t="s">
        <v>139</v>
      </c>
      <c r="O1047" s="233">
        <f>VLOOKUP(I1047,BM!$B$3:$Y$62,10,FALSE)</f>
        <v>1</v>
      </c>
      <c r="P1047" s="195" t="s">
        <v>112</v>
      </c>
      <c r="Q1047" s="227">
        <f t="shared" si="392"/>
        <v>0.83100000000000007</v>
      </c>
      <c r="R1047" s="226">
        <v>1</v>
      </c>
      <c r="S1047" s="227">
        <f t="shared" si="355"/>
        <v>1.83</v>
      </c>
      <c r="T1047" s="203" t="s">
        <v>48</v>
      </c>
      <c r="U1047" s="183" t="str">
        <f t="shared" si="353"/>
        <v>1.83 Hrs</v>
      </c>
    </row>
    <row r="1048" spans="3:21" s="172" customFormat="1" ht="20.25" customHeight="1">
      <c r="C1048" s="185">
        <f>D1048</f>
        <v>1048</v>
      </c>
      <c r="D1048" s="190">
        <f t="shared" si="375"/>
        <v>1048</v>
      </c>
      <c r="E1048" s="191" t="s">
        <v>426</v>
      </c>
      <c r="F1048" s="197">
        <f>D1045</f>
        <v>1045</v>
      </c>
      <c r="G1048" s="193"/>
      <c r="H1048" s="193"/>
      <c r="I1048" s="195"/>
      <c r="J1048" s="195"/>
      <c r="K1048" s="221"/>
      <c r="L1048" s="195"/>
      <c r="M1048" s="204"/>
      <c r="N1048" s="195"/>
      <c r="O1048" s="205"/>
      <c r="P1048" s="195"/>
      <c r="Q1048" s="227"/>
      <c r="R1048" s="226"/>
      <c r="S1048" s="227"/>
      <c r="T1048" s="203"/>
      <c r="U1048" s="183"/>
    </row>
    <row r="1049" spans="3:21" s="172" customFormat="1" ht="20.25" customHeight="1">
      <c r="C1049" s="185"/>
      <c r="D1049" s="190">
        <f t="shared" si="375"/>
        <v>1049</v>
      </c>
      <c r="E1049" s="194" t="s">
        <v>427</v>
      </c>
      <c r="F1049" s="198"/>
      <c r="G1049" s="193" t="s">
        <v>201</v>
      </c>
      <c r="H1049" s="193"/>
      <c r="I1049" s="211">
        <v>18</v>
      </c>
      <c r="J1049" s="198" t="str">
        <f>J1047</f>
        <v>831 mm</v>
      </c>
      <c r="K1049" s="221">
        <v>1</v>
      </c>
      <c r="L1049" s="195" t="s">
        <v>81</v>
      </c>
      <c r="M1049" s="204">
        <v>1</v>
      </c>
      <c r="N1049" s="195" t="s">
        <v>139</v>
      </c>
      <c r="O1049" s="205">
        <v>1</v>
      </c>
      <c r="P1049" s="195" t="s">
        <v>112</v>
      </c>
      <c r="Q1049" s="227">
        <f t="shared" ref="Q1049:Q1054" si="394">M1049*O1049</f>
        <v>1</v>
      </c>
      <c r="R1049" s="226">
        <v>1</v>
      </c>
      <c r="S1049" s="227">
        <f t="shared" si="355"/>
        <v>2</v>
      </c>
      <c r="T1049" s="203" t="s">
        <v>48</v>
      </c>
      <c r="U1049" s="183" t="str">
        <f t="shared" si="353"/>
        <v>2 Hrs</v>
      </c>
    </row>
    <row r="1050" spans="3:21" s="172" customFormat="1" ht="20.25" customHeight="1">
      <c r="C1050" s="185"/>
      <c r="D1050" s="190">
        <f t="shared" si="375"/>
        <v>1050</v>
      </c>
      <c r="E1050" s="194" t="s">
        <v>428</v>
      </c>
      <c r="F1050" s="198">
        <f t="shared" ref="F1050:F1054" si="395">D1049</f>
        <v>1049</v>
      </c>
      <c r="G1050" s="193" t="s">
        <v>115</v>
      </c>
      <c r="H1050" s="193"/>
      <c r="I1050" s="211">
        <v>12</v>
      </c>
      <c r="J1050" s="198" t="str">
        <f t="shared" ref="J1050:J1054" si="396">J1049</f>
        <v>831 mm</v>
      </c>
      <c r="K1050" s="221">
        <v>1</v>
      </c>
      <c r="L1050" s="195" t="s">
        <v>81</v>
      </c>
      <c r="M1050" s="214">
        <f t="shared" ref="M1050:M1053" si="397">LEFT(J1050,SEARCH(" ",J1050,1)-1)*K1050*0.001</f>
        <v>0.83100000000000007</v>
      </c>
      <c r="N1050" s="195" t="s">
        <v>139</v>
      </c>
      <c r="O1050" s="233">
        <f>VLOOKUP(I1050,BM!$B$3:$Y$62,12,FALSE)</f>
        <v>2.5</v>
      </c>
      <c r="P1050" s="195" t="s">
        <v>112</v>
      </c>
      <c r="Q1050" s="227">
        <f t="shared" si="394"/>
        <v>2.0775000000000001</v>
      </c>
      <c r="R1050" s="226">
        <v>1</v>
      </c>
      <c r="S1050" s="227">
        <f t="shared" si="355"/>
        <v>3.08</v>
      </c>
      <c r="T1050" s="203" t="s">
        <v>48</v>
      </c>
      <c r="U1050" s="183" t="str">
        <f t="shared" si="353"/>
        <v>3.08 Hrs</v>
      </c>
    </row>
    <row r="1051" spans="3:21" s="172" customFormat="1" ht="20.25" customHeight="1">
      <c r="C1051" s="185"/>
      <c r="D1051" s="190">
        <f t="shared" si="375"/>
        <v>1051</v>
      </c>
      <c r="E1051" s="194" t="s">
        <v>429</v>
      </c>
      <c r="F1051" s="198">
        <f t="shared" si="395"/>
        <v>1050</v>
      </c>
      <c r="G1051" s="193" t="s">
        <v>121</v>
      </c>
      <c r="H1051" s="193"/>
      <c r="I1051" s="211">
        <v>18</v>
      </c>
      <c r="J1051" s="198" t="str">
        <f t="shared" si="396"/>
        <v>831 mm</v>
      </c>
      <c r="K1051" s="221">
        <v>1</v>
      </c>
      <c r="L1051" s="195" t="s">
        <v>81</v>
      </c>
      <c r="M1051" s="214">
        <f t="shared" si="397"/>
        <v>0.83100000000000007</v>
      </c>
      <c r="N1051" s="195" t="s">
        <v>139</v>
      </c>
      <c r="O1051" s="233">
        <f>VLOOKUP(I1051,BM!$B$3:$Y$62,18,FALSE)</f>
        <v>1</v>
      </c>
      <c r="P1051" s="195" t="s">
        <v>112</v>
      </c>
      <c r="Q1051" s="227">
        <f t="shared" si="394"/>
        <v>0.83100000000000007</v>
      </c>
      <c r="R1051" s="226">
        <v>1</v>
      </c>
      <c r="S1051" s="227">
        <f t="shared" si="355"/>
        <v>1.83</v>
      </c>
      <c r="T1051" s="203" t="s">
        <v>48</v>
      </c>
      <c r="U1051" s="183" t="str">
        <f t="shared" si="353"/>
        <v>1.83 Hrs</v>
      </c>
    </row>
    <row r="1052" spans="3:21" s="172" customFormat="1" ht="20.25" customHeight="1">
      <c r="C1052" s="185"/>
      <c r="D1052" s="190">
        <f t="shared" si="375"/>
        <v>1052</v>
      </c>
      <c r="E1052" s="194" t="s">
        <v>430</v>
      </c>
      <c r="F1052" s="198">
        <f t="shared" si="395"/>
        <v>1051</v>
      </c>
      <c r="G1052" s="193" t="s">
        <v>115</v>
      </c>
      <c r="H1052" s="193"/>
      <c r="I1052" s="211">
        <v>6</v>
      </c>
      <c r="J1052" s="198" t="str">
        <f t="shared" si="396"/>
        <v>831 mm</v>
      </c>
      <c r="K1052" s="221">
        <v>1</v>
      </c>
      <c r="L1052" s="195" t="s">
        <v>81</v>
      </c>
      <c r="M1052" s="214">
        <f t="shared" si="397"/>
        <v>0.83100000000000007</v>
      </c>
      <c r="N1052" s="195" t="s">
        <v>139</v>
      </c>
      <c r="O1052" s="233">
        <f>VLOOKUP(I1052,BM!$B$3:$Y$62,12,FALSE)</f>
        <v>0.9</v>
      </c>
      <c r="P1052" s="195" t="s">
        <v>112</v>
      </c>
      <c r="Q1052" s="227">
        <f t="shared" si="394"/>
        <v>0.74790000000000012</v>
      </c>
      <c r="R1052" s="226">
        <v>1</v>
      </c>
      <c r="S1052" s="227">
        <f t="shared" si="355"/>
        <v>1.75</v>
      </c>
      <c r="T1052" s="203" t="s">
        <v>48</v>
      </c>
      <c r="U1052" s="183" t="str">
        <f t="shared" ref="U1052:U1114" si="398">CONCATENATE(S1052," ",T1052)</f>
        <v>1.75 Hrs</v>
      </c>
    </row>
    <row r="1053" spans="3:21" s="172" customFormat="1" ht="20.25" customHeight="1">
      <c r="C1053" s="185"/>
      <c r="D1053" s="190">
        <f t="shared" si="375"/>
        <v>1053</v>
      </c>
      <c r="E1053" s="194" t="s">
        <v>431</v>
      </c>
      <c r="F1053" s="198">
        <f t="shared" si="395"/>
        <v>1052</v>
      </c>
      <c r="G1053" s="193" t="s">
        <v>61</v>
      </c>
      <c r="H1053" s="193"/>
      <c r="I1053" s="211">
        <v>6</v>
      </c>
      <c r="J1053" s="198" t="str">
        <f t="shared" si="396"/>
        <v>831 mm</v>
      </c>
      <c r="K1053" s="221">
        <v>1</v>
      </c>
      <c r="L1053" s="195" t="s">
        <v>81</v>
      </c>
      <c r="M1053" s="214">
        <f t="shared" si="397"/>
        <v>0.83100000000000007</v>
      </c>
      <c r="N1053" s="195" t="s">
        <v>139</v>
      </c>
      <c r="O1053" s="233">
        <f>VLOOKUP(I1053,BM!$B$3:$Y$62,20,FALSE)</f>
        <v>0.5</v>
      </c>
      <c r="P1053" s="195" t="s">
        <v>112</v>
      </c>
      <c r="Q1053" s="227">
        <f t="shared" si="394"/>
        <v>0.41550000000000004</v>
      </c>
      <c r="R1053" s="226">
        <v>1</v>
      </c>
      <c r="S1053" s="227">
        <f t="shared" ref="S1053:S1116" si="399">ROUND(Q1053+R1053,2)</f>
        <v>1.42</v>
      </c>
      <c r="T1053" s="203" t="s">
        <v>48</v>
      </c>
      <c r="U1053" s="183" t="str">
        <f t="shared" si="398"/>
        <v>1.42 Hrs</v>
      </c>
    </row>
    <row r="1054" spans="3:21" s="172" customFormat="1" ht="20.25" customHeight="1">
      <c r="C1054" s="185"/>
      <c r="D1054" s="190">
        <f t="shared" si="375"/>
        <v>1054</v>
      </c>
      <c r="E1054" s="194" t="s">
        <v>432</v>
      </c>
      <c r="F1054" s="198">
        <f t="shared" si="395"/>
        <v>1053</v>
      </c>
      <c r="G1054" s="193" t="s">
        <v>286</v>
      </c>
      <c r="H1054" s="193"/>
      <c r="I1054" s="211">
        <v>18</v>
      </c>
      <c r="J1054" s="198" t="str">
        <f t="shared" si="396"/>
        <v>831 mm</v>
      </c>
      <c r="K1054" s="221">
        <v>1</v>
      </c>
      <c r="L1054" s="195" t="s">
        <v>81</v>
      </c>
      <c r="M1054" s="204">
        <v>1</v>
      </c>
      <c r="N1054" s="195" t="s">
        <v>81</v>
      </c>
      <c r="O1054" s="205">
        <v>3</v>
      </c>
      <c r="P1054" s="195" t="s">
        <v>112</v>
      </c>
      <c r="Q1054" s="227">
        <f t="shared" si="394"/>
        <v>3</v>
      </c>
      <c r="R1054" s="226">
        <v>1</v>
      </c>
      <c r="S1054" s="227">
        <f t="shared" si="399"/>
        <v>4</v>
      </c>
      <c r="T1054" s="203" t="s">
        <v>48</v>
      </c>
      <c r="U1054" s="183" t="str">
        <f t="shared" si="398"/>
        <v>4 Hrs</v>
      </c>
    </row>
    <row r="1055" spans="3:21" s="172" customFormat="1" ht="20.25" customHeight="1">
      <c r="C1055" s="185">
        <f>D1055</f>
        <v>1055</v>
      </c>
      <c r="D1055" s="190">
        <f t="shared" si="375"/>
        <v>1055</v>
      </c>
      <c r="E1055" s="191" t="s">
        <v>433</v>
      </c>
      <c r="F1055" s="197">
        <f>D1048</f>
        <v>1048</v>
      </c>
      <c r="G1055" s="193"/>
      <c r="H1055" s="193"/>
      <c r="I1055" s="195"/>
      <c r="J1055" s="195"/>
      <c r="K1055" s="221"/>
      <c r="L1055" s="195"/>
      <c r="M1055" s="204"/>
      <c r="N1055" s="195"/>
      <c r="O1055" s="205"/>
      <c r="P1055" s="195"/>
      <c r="Q1055" s="227"/>
      <c r="R1055" s="226"/>
      <c r="S1055" s="227"/>
      <c r="T1055" s="203"/>
      <c r="U1055" s="183"/>
    </row>
    <row r="1056" spans="3:21" s="172" customFormat="1" ht="20.25" customHeight="1">
      <c r="C1056" s="185"/>
      <c r="D1056" s="190">
        <f t="shared" si="375"/>
        <v>1056</v>
      </c>
      <c r="E1056" s="194" t="s">
        <v>434</v>
      </c>
      <c r="F1056" s="198"/>
      <c r="G1056" s="193" t="s">
        <v>312</v>
      </c>
      <c r="H1056" s="193"/>
      <c r="I1056" s="211">
        <v>18</v>
      </c>
      <c r="J1056" s="198" t="str">
        <f>J1054</f>
        <v>831 mm</v>
      </c>
      <c r="K1056" s="221">
        <v>1</v>
      </c>
      <c r="L1056" s="195" t="s">
        <v>39</v>
      </c>
      <c r="M1056" s="204">
        <v>1</v>
      </c>
      <c r="N1056" s="195" t="s">
        <v>39</v>
      </c>
      <c r="O1056" s="205">
        <v>1</v>
      </c>
      <c r="P1056" s="195" t="s">
        <v>435</v>
      </c>
      <c r="Q1056" s="227">
        <f t="shared" ref="Q1056" si="400">M1056*O1056</f>
        <v>1</v>
      </c>
      <c r="R1056" s="226"/>
      <c r="S1056" s="227">
        <f t="shared" si="399"/>
        <v>1</v>
      </c>
      <c r="T1056" s="203" t="s">
        <v>42</v>
      </c>
      <c r="U1056" s="183" t="str">
        <f t="shared" si="398"/>
        <v>1 Days</v>
      </c>
    </row>
    <row r="1057" spans="3:21" s="172" customFormat="1" ht="20.25" customHeight="1">
      <c r="C1057" s="185">
        <f>D1057</f>
        <v>1057</v>
      </c>
      <c r="D1057" s="190">
        <f t="shared" si="375"/>
        <v>1057</v>
      </c>
      <c r="E1057" s="191" t="s">
        <v>436</v>
      </c>
      <c r="F1057" s="197">
        <f>D1055</f>
        <v>1055</v>
      </c>
      <c r="G1057" s="193"/>
      <c r="H1057" s="193"/>
      <c r="I1057" s="195"/>
      <c r="J1057" s="195"/>
      <c r="K1057" s="221"/>
      <c r="L1057" s="195"/>
      <c r="M1057" s="204"/>
      <c r="N1057" s="195"/>
      <c r="O1057" s="205"/>
      <c r="P1057" s="195"/>
      <c r="Q1057" s="227"/>
      <c r="R1057" s="226"/>
      <c r="S1057" s="227"/>
      <c r="T1057" s="203"/>
      <c r="U1057" s="183"/>
    </row>
    <row r="1058" spans="3:21" s="172" customFormat="1" ht="20.25" customHeight="1">
      <c r="C1058" s="185"/>
      <c r="D1058" s="190">
        <f t="shared" si="375"/>
        <v>1058</v>
      </c>
      <c r="E1058" s="194" t="s">
        <v>437</v>
      </c>
      <c r="F1058" s="198"/>
      <c r="G1058" s="193" t="s">
        <v>348</v>
      </c>
      <c r="H1058" s="193"/>
      <c r="I1058" s="220">
        <f>I1056</f>
        <v>18</v>
      </c>
      <c r="J1058" s="212" t="s">
        <v>317</v>
      </c>
      <c r="K1058" s="221">
        <v>1</v>
      </c>
      <c r="L1058" s="195" t="s">
        <v>81</v>
      </c>
      <c r="M1058" s="214">
        <f>LEFT(J1058,SEARCH(" ",J1058,1)-1)*K1058*3.142*0.001*2</f>
        <v>9.8030399999999993</v>
      </c>
      <c r="N1058" s="195" t="s">
        <v>139</v>
      </c>
      <c r="O1058" s="233">
        <f>VLOOKUP(I1058,BM!$B$3:$Y$62,13,FALSE)</f>
        <v>0.45</v>
      </c>
      <c r="P1058" s="195" t="s">
        <v>112</v>
      </c>
      <c r="Q1058" s="227">
        <f t="shared" ref="Q1058:Q1060" si="401">M1058*O1058</f>
        <v>4.4113679999999995</v>
      </c>
      <c r="R1058" s="226">
        <v>1</v>
      </c>
      <c r="S1058" s="227">
        <f t="shared" si="399"/>
        <v>5.41</v>
      </c>
      <c r="T1058" s="203" t="s">
        <v>48</v>
      </c>
      <c r="U1058" s="183" t="str">
        <f t="shared" si="398"/>
        <v>5.41 Hrs</v>
      </c>
    </row>
    <row r="1059" spans="3:21" s="172" customFormat="1" ht="20.25" customHeight="1">
      <c r="C1059" s="185"/>
      <c r="D1059" s="190">
        <f t="shared" si="375"/>
        <v>1059</v>
      </c>
      <c r="E1059" s="194" t="s">
        <v>438</v>
      </c>
      <c r="F1059" s="198">
        <f t="shared" ref="F1059:F1060" si="402">D1058</f>
        <v>1058</v>
      </c>
      <c r="G1059" s="193" t="s">
        <v>111</v>
      </c>
      <c r="H1059" s="193"/>
      <c r="I1059" s="211">
        <v>18</v>
      </c>
      <c r="J1059" s="195" t="str">
        <f>J1058</f>
        <v>1560 mm id</v>
      </c>
      <c r="K1059" s="221">
        <v>1</v>
      </c>
      <c r="L1059" s="195" t="s">
        <v>81</v>
      </c>
      <c r="M1059" s="214">
        <f>LEFT(J1059,SEARCH(" ",J1059,1)-1)*K1059*3.142*0.001</f>
        <v>4.9015199999999997</v>
      </c>
      <c r="N1059" s="195" t="s">
        <v>139</v>
      </c>
      <c r="O1059" s="233">
        <f>VLOOKUP(I1059,BM!$B$3:$Y$62,16,FALSE)</f>
        <v>1</v>
      </c>
      <c r="P1059" s="195" t="s">
        <v>112</v>
      </c>
      <c r="Q1059" s="227">
        <f t="shared" si="401"/>
        <v>4.9015199999999997</v>
      </c>
      <c r="R1059" s="226">
        <v>1</v>
      </c>
      <c r="S1059" s="227">
        <f t="shared" si="399"/>
        <v>5.9</v>
      </c>
      <c r="T1059" s="203" t="s">
        <v>48</v>
      </c>
      <c r="U1059" s="183" t="str">
        <f t="shared" si="398"/>
        <v>5.9 Hrs</v>
      </c>
    </row>
    <row r="1060" spans="3:21" s="172" customFormat="1" ht="20.25" customHeight="1">
      <c r="C1060" s="185"/>
      <c r="D1060" s="190">
        <f t="shared" si="375"/>
        <v>1060</v>
      </c>
      <c r="E1060" s="194" t="s">
        <v>439</v>
      </c>
      <c r="F1060" s="198">
        <f t="shared" si="402"/>
        <v>1059</v>
      </c>
      <c r="G1060" s="193" t="s">
        <v>44</v>
      </c>
      <c r="H1060" s="193"/>
      <c r="I1060" s="211">
        <v>18</v>
      </c>
      <c r="J1060" s="195" t="str">
        <f>J1059</f>
        <v>1560 mm id</v>
      </c>
      <c r="K1060" s="221">
        <v>1</v>
      </c>
      <c r="L1060" s="195" t="s">
        <v>81</v>
      </c>
      <c r="M1060" s="204">
        <v>1</v>
      </c>
      <c r="N1060" s="195" t="s">
        <v>139</v>
      </c>
      <c r="O1060" s="205">
        <v>4</v>
      </c>
      <c r="P1060" s="195" t="s">
        <v>112</v>
      </c>
      <c r="Q1060" s="227">
        <f t="shared" si="401"/>
        <v>4</v>
      </c>
      <c r="R1060" s="226">
        <v>1</v>
      </c>
      <c r="S1060" s="227">
        <f t="shared" si="399"/>
        <v>5</v>
      </c>
      <c r="T1060" s="203" t="s">
        <v>48</v>
      </c>
      <c r="U1060" s="183" t="str">
        <f t="shared" si="398"/>
        <v>5 Hrs</v>
      </c>
    </row>
    <row r="1061" spans="3:21" s="172" customFormat="1" ht="20.25" customHeight="1">
      <c r="C1061" s="185">
        <f>D1061</f>
        <v>1061</v>
      </c>
      <c r="D1061" s="190">
        <f t="shared" si="375"/>
        <v>1061</v>
      </c>
      <c r="E1061" s="191" t="s">
        <v>440</v>
      </c>
      <c r="F1061" s="197">
        <f>D1057</f>
        <v>1057</v>
      </c>
      <c r="G1061" s="193"/>
      <c r="H1061" s="193"/>
      <c r="I1061" s="195"/>
      <c r="J1061" s="195"/>
      <c r="K1061" s="221"/>
      <c r="L1061" s="195"/>
      <c r="M1061" s="204"/>
      <c r="N1061" s="195"/>
      <c r="O1061" s="205"/>
      <c r="P1061" s="195"/>
      <c r="Q1061" s="227"/>
      <c r="R1061" s="226"/>
      <c r="S1061" s="227"/>
      <c r="T1061" s="203"/>
      <c r="U1061" s="183"/>
    </row>
    <row r="1062" spans="3:21" s="172" customFormat="1" ht="20.25" customHeight="1">
      <c r="C1062" s="185"/>
      <c r="D1062" s="190">
        <f t="shared" si="375"/>
        <v>1062</v>
      </c>
      <c r="E1062" s="194" t="s">
        <v>441</v>
      </c>
      <c r="F1062" s="198"/>
      <c r="G1062" s="193" t="s">
        <v>201</v>
      </c>
      <c r="H1062" s="193"/>
      <c r="I1062" s="211">
        <v>18</v>
      </c>
      <c r="J1062" s="195" t="str">
        <f>J1060</f>
        <v>1560 mm id</v>
      </c>
      <c r="K1062" s="221">
        <v>1</v>
      </c>
      <c r="L1062" s="195" t="s">
        <v>81</v>
      </c>
      <c r="M1062" s="204">
        <v>1</v>
      </c>
      <c r="N1062" s="195" t="s">
        <v>39</v>
      </c>
      <c r="O1062" s="205">
        <v>1</v>
      </c>
      <c r="P1062" s="195" t="s">
        <v>112</v>
      </c>
      <c r="Q1062" s="227">
        <f t="shared" ref="Q1062:Q1066" si="403">M1062*O1062</f>
        <v>1</v>
      </c>
      <c r="R1062" s="226">
        <v>1</v>
      </c>
      <c r="S1062" s="227">
        <f t="shared" si="399"/>
        <v>2</v>
      </c>
      <c r="T1062" s="203" t="s">
        <v>48</v>
      </c>
      <c r="U1062" s="183" t="str">
        <f t="shared" si="398"/>
        <v>2 Hrs</v>
      </c>
    </row>
    <row r="1063" spans="3:21" s="172" customFormat="1" ht="20.25" customHeight="1">
      <c r="C1063" s="185"/>
      <c r="D1063" s="190">
        <f t="shared" si="375"/>
        <v>1063</v>
      </c>
      <c r="E1063" s="194" t="s">
        <v>442</v>
      </c>
      <c r="F1063" s="198">
        <f t="shared" ref="F1063:F1066" si="404">D1062</f>
        <v>1062</v>
      </c>
      <c r="G1063" s="193" t="s">
        <v>115</v>
      </c>
      <c r="H1063" s="193"/>
      <c r="I1063" s="211">
        <v>12</v>
      </c>
      <c r="J1063" s="195" t="str">
        <f>J1062</f>
        <v>1560 mm id</v>
      </c>
      <c r="K1063" s="221">
        <v>1</v>
      </c>
      <c r="L1063" s="195" t="s">
        <v>81</v>
      </c>
      <c r="M1063" s="214">
        <f t="shared" ref="M1063:M1066" si="405">LEFT(J1063,SEARCH(" ",J1063,1)-1)*K1063*3.142*0.001</f>
        <v>4.9015199999999997</v>
      </c>
      <c r="N1063" s="195" t="s">
        <v>249</v>
      </c>
      <c r="O1063" s="233">
        <f>VLOOKUP(I1063,BM!$B$3:$Y$62,17,FALSE)</f>
        <v>2.5</v>
      </c>
      <c r="P1063" s="195" t="s">
        <v>112</v>
      </c>
      <c r="Q1063" s="227">
        <f t="shared" si="403"/>
        <v>12.253799999999998</v>
      </c>
      <c r="R1063" s="226">
        <v>1</v>
      </c>
      <c r="S1063" s="227">
        <f t="shared" si="399"/>
        <v>13.25</v>
      </c>
      <c r="T1063" s="203" t="s">
        <v>48</v>
      </c>
      <c r="U1063" s="183" t="str">
        <f t="shared" si="398"/>
        <v>13.25 Hrs</v>
      </c>
    </row>
    <row r="1064" spans="3:21" s="172" customFormat="1" ht="20.25" customHeight="1">
      <c r="C1064" s="185"/>
      <c r="D1064" s="190">
        <f t="shared" si="375"/>
        <v>1064</v>
      </c>
      <c r="E1064" s="194" t="s">
        <v>443</v>
      </c>
      <c r="F1064" s="198">
        <f t="shared" si="404"/>
        <v>1063</v>
      </c>
      <c r="G1064" s="193" t="s">
        <v>61</v>
      </c>
      <c r="H1064" s="193"/>
      <c r="I1064" s="211">
        <v>18</v>
      </c>
      <c r="J1064" s="195" t="str">
        <f>J1063</f>
        <v>1560 mm id</v>
      </c>
      <c r="K1064" s="221">
        <v>1</v>
      </c>
      <c r="L1064" s="195" t="s">
        <v>81</v>
      </c>
      <c r="M1064" s="214">
        <f t="shared" si="405"/>
        <v>4.9015199999999997</v>
      </c>
      <c r="N1064" s="195" t="s">
        <v>249</v>
      </c>
      <c r="O1064" s="233">
        <f>VLOOKUP(I1064,BM!$B$3:$Y$62,18,FALSE)</f>
        <v>1</v>
      </c>
      <c r="P1064" s="195" t="s">
        <v>112</v>
      </c>
      <c r="Q1064" s="227">
        <f t="shared" si="403"/>
        <v>4.9015199999999997</v>
      </c>
      <c r="R1064" s="226">
        <v>1</v>
      </c>
      <c r="S1064" s="227">
        <f t="shared" si="399"/>
        <v>5.9</v>
      </c>
      <c r="T1064" s="203" t="s">
        <v>48</v>
      </c>
      <c r="U1064" s="183" t="str">
        <f t="shared" si="398"/>
        <v>5.9 Hrs</v>
      </c>
    </row>
    <row r="1065" spans="3:21" s="172" customFormat="1" ht="20.25" customHeight="1">
      <c r="C1065" s="185"/>
      <c r="D1065" s="190">
        <f t="shared" si="375"/>
        <v>1065</v>
      </c>
      <c r="E1065" s="194" t="s">
        <v>444</v>
      </c>
      <c r="F1065" s="198">
        <f t="shared" si="404"/>
        <v>1064</v>
      </c>
      <c r="G1065" s="193" t="s">
        <v>115</v>
      </c>
      <c r="H1065" s="193"/>
      <c r="I1065" s="211">
        <v>8</v>
      </c>
      <c r="J1065" s="195" t="str">
        <f>J1064</f>
        <v>1560 mm id</v>
      </c>
      <c r="K1065" s="221">
        <v>1</v>
      </c>
      <c r="L1065" s="195" t="s">
        <v>81</v>
      </c>
      <c r="M1065" s="214">
        <f t="shared" si="405"/>
        <v>4.9015199999999997</v>
      </c>
      <c r="N1065" s="195" t="s">
        <v>249</v>
      </c>
      <c r="O1065" s="233">
        <f>VLOOKUP(I1065,BM!$B$3:$Y$62,17,FALSE)</f>
        <v>1.36</v>
      </c>
      <c r="P1065" s="195" t="s">
        <v>112</v>
      </c>
      <c r="Q1065" s="227">
        <f t="shared" si="403"/>
        <v>6.6660671999999996</v>
      </c>
      <c r="R1065" s="226">
        <v>1</v>
      </c>
      <c r="S1065" s="227">
        <f t="shared" si="399"/>
        <v>7.67</v>
      </c>
      <c r="T1065" s="203" t="s">
        <v>48</v>
      </c>
      <c r="U1065" s="183" t="str">
        <f t="shared" si="398"/>
        <v>7.67 Hrs</v>
      </c>
    </row>
    <row r="1066" spans="3:21" s="172" customFormat="1" ht="20.25" customHeight="1">
      <c r="C1066" s="185"/>
      <c r="D1066" s="190">
        <f t="shared" si="375"/>
        <v>1066</v>
      </c>
      <c r="E1066" s="194" t="s">
        <v>445</v>
      </c>
      <c r="F1066" s="198">
        <f t="shared" si="404"/>
        <v>1065</v>
      </c>
      <c r="G1066" s="193" t="s">
        <v>61</v>
      </c>
      <c r="H1066" s="193"/>
      <c r="I1066" s="211">
        <v>18</v>
      </c>
      <c r="J1066" s="195" t="str">
        <f>J1065</f>
        <v>1560 mm id</v>
      </c>
      <c r="K1066" s="221">
        <v>1</v>
      </c>
      <c r="L1066" s="195" t="s">
        <v>81</v>
      </c>
      <c r="M1066" s="214">
        <f t="shared" si="405"/>
        <v>4.9015199999999997</v>
      </c>
      <c r="N1066" s="195" t="s">
        <v>249</v>
      </c>
      <c r="O1066" s="233">
        <f>VLOOKUP(I1066,BM!$B$3:$Y$62,20,FALSE)</f>
        <v>0.5</v>
      </c>
      <c r="P1066" s="195" t="s">
        <v>112</v>
      </c>
      <c r="Q1066" s="227">
        <f t="shared" si="403"/>
        <v>2.4507599999999998</v>
      </c>
      <c r="R1066" s="226">
        <v>1</v>
      </c>
      <c r="S1066" s="227">
        <f t="shared" si="399"/>
        <v>3.45</v>
      </c>
      <c r="T1066" s="203" t="s">
        <v>48</v>
      </c>
      <c r="U1066" s="183" t="str">
        <f t="shared" si="398"/>
        <v>3.45 Hrs</v>
      </c>
    </row>
    <row r="1067" spans="3:21" s="172" customFormat="1" ht="20.25" customHeight="1">
      <c r="C1067" s="185">
        <f>D1067</f>
        <v>1067</v>
      </c>
      <c r="D1067" s="190">
        <f t="shared" si="375"/>
        <v>1067</v>
      </c>
      <c r="E1067" s="191" t="s">
        <v>446</v>
      </c>
      <c r="F1067" s="197">
        <f>D1061</f>
        <v>1061</v>
      </c>
      <c r="G1067" s="193"/>
      <c r="H1067" s="193"/>
      <c r="I1067" s="195"/>
      <c r="J1067" s="195"/>
      <c r="K1067" s="221"/>
      <c r="L1067" s="195"/>
      <c r="M1067" s="204"/>
      <c r="N1067" s="195"/>
      <c r="O1067" s="205"/>
      <c r="P1067" s="195"/>
      <c r="Q1067" s="227"/>
      <c r="R1067" s="226"/>
      <c r="S1067" s="227"/>
      <c r="T1067" s="203"/>
      <c r="U1067" s="183"/>
    </row>
    <row r="1068" spans="3:21" s="172" customFormat="1" ht="20.25" customHeight="1">
      <c r="C1068" s="185"/>
      <c r="D1068" s="190">
        <f t="shared" si="375"/>
        <v>1068</v>
      </c>
      <c r="E1068" s="194" t="s">
        <v>447</v>
      </c>
      <c r="F1068" s="198"/>
      <c r="G1068" s="193" t="s">
        <v>52</v>
      </c>
      <c r="H1068" s="193"/>
      <c r="I1068" s="211">
        <f>I1062</f>
        <v>18</v>
      </c>
      <c r="J1068" s="195" t="str">
        <f>J1066</f>
        <v>1560 mm id</v>
      </c>
      <c r="K1068" s="221">
        <v>1</v>
      </c>
      <c r="L1068" s="195" t="s">
        <v>81</v>
      </c>
      <c r="M1068" s="214">
        <f t="shared" ref="M1068:M1071" si="406">LEFT(J1068,SEARCH(" ",J1068,1)-1)*K1068*3.142*0.001</f>
        <v>4.9015199999999997</v>
      </c>
      <c r="N1068" s="195" t="s">
        <v>139</v>
      </c>
      <c r="O1068" s="233">
        <f>VLOOKUP(I1068,BM!$B$3:$Y$62,14,FALSE)</f>
        <v>0.5</v>
      </c>
      <c r="P1068" s="195" t="s">
        <v>112</v>
      </c>
      <c r="Q1068" s="227">
        <f t="shared" ref="Q1068:Q1071" si="407">M1068*O1068</f>
        <v>2.4507599999999998</v>
      </c>
      <c r="R1068" s="226">
        <v>1</v>
      </c>
      <c r="S1068" s="227">
        <f t="shared" si="399"/>
        <v>3.45</v>
      </c>
      <c r="T1068" s="203" t="s">
        <v>48</v>
      </c>
      <c r="U1068" s="183" t="str">
        <f t="shared" si="398"/>
        <v>3.45 Hrs</v>
      </c>
    </row>
    <row r="1069" spans="3:21" s="172" customFormat="1" ht="20.25" customHeight="1">
      <c r="C1069" s="185"/>
      <c r="D1069" s="190">
        <f t="shared" si="375"/>
        <v>1069</v>
      </c>
      <c r="E1069" s="194" t="s">
        <v>437</v>
      </c>
      <c r="F1069" s="198">
        <f t="shared" ref="F1069:F1071" si="408">D1068</f>
        <v>1068</v>
      </c>
      <c r="G1069" s="193" t="s">
        <v>44</v>
      </c>
      <c r="H1069" s="193"/>
      <c r="I1069" s="211">
        <f>I1063</f>
        <v>12</v>
      </c>
      <c r="J1069" s="195" t="str">
        <f>J1068</f>
        <v>1560 mm id</v>
      </c>
      <c r="K1069" s="221">
        <v>1</v>
      </c>
      <c r="L1069" s="195" t="s">
        <v>81</v>
      </c>
      <c r="M1069" s="214">
        <f t="shared" si="406"/>
        <v>4.9015199999999997</v>
      </c>
      <c r="N1069" s="195" t="s">
        <v>139</v>
      </c>
      <c r="O1069" s="233">
        <f>VLOOKUP(I1069,BM!$B$3:$Y$62,15,FALSE)</f>
        <v>1</v>
      </c>
      <c r="P1069" s="195" t="s">
        <v>112</v>
      </c>
      <c r="Q1069" s="227">
        <f t="shared" si="407"/>
        <v>4.9015199999999997</v>
      </c>
      <c r="R1069" s="226">
        <v>1</v>
      </c>
      <c r="S1069" s="227">
        <f t="shared" si="399"/>
        <v>5.9</v>
      </c>
      <c r="T1069" s="203" t="s">
        <v>48</v>
      </c>
      <c r="U1069" s="183" t="str">
        <f t="shared" si="398"/>
        <v>5.9 Hrs</v>
      </c>
    </row>
    <row r="1070" spans="3:21" s="172" customFormat="1" ht="20.25" customHeight="1">
      <c r="C1070" s="185"/>
      <c r="D1070" s="190">
        <f t="shared" si="375"/>
        <v>1070</v>
      </c>
      <c r="E1070" s="194" t="s">
        <v>448</v>
      </c>
      <c r="F1070" s="198">
        <f t="shared" si="408"/>
        <v>1069</v>
      </c>
      <c r="G1070" s="193" t="s">
        <v>111</v>
      </c>
      <c r="H1070" s="193"/>
      <c r="I1070" s="211">
        <f>I1065</f>
        <v>8</v>
      </c>
      <c r="J1070" s="195" t="str">
        <f>J1069</f>
        <v>1560 mm id</v>
      </c>
      <c r="K1070" s="221">
        <v>1</v>
      </c>
      <c r="L1070" s="195" t="s">
        <v>81</v>
      </c>
      <c r="M1070" s="214">
        <f t="shared" si="406"/>
        <v>4.9015199999999997</v>
      </c>
      <c r="N1070" s="195" t="s">
        <v>139</v>
      </c>
      <c r="O1070" s="205">
        <v>4</v>
      </c>
      <c r="P1070" s="195" t="s">
        <v>112</v>
      </c>
      <c r="Q1070" s="227">
        <f t="shared" si="407"/>
        <v>19.606079999999999</v>
      </c>
      <c r="R1070" s="226">
        <v>1</v>
      </c>
      <c r="S1070" s="227">
        <f t="shared" si="399"/>
        <v>20.61</v>
      </c>
      <c r="T1070" s="203" t="s">
        <v>48</v>
      </c>
      <c r="U1070" s="183" t="str">
        <f t="shared" si="398"/>
        <v>20.61 Hrs</v>
      </c>
    </row>
    <row r="1071" spans="3:21" s="172" customFormat="1" ht="20.25" customHeight="1">
      <c r="C1071" s="185"/>
      <c r="D1071" s="190">
        <f t="shared" si="375"/>
        <v>1071</v>
      </c>
      <c r="E1071" s="194" t="s">
        <v>439</v>
      </c>
      <c r="F1071" s="198">
        <f t="shared" si="408"/>
        <v>1070</v>
      </c>
      <c r="G1071" s="193" t="s">
        <v>63</v>
      </c>
      <c r="H1071" s="193"/>
      <c r="I1071" s="211">
        <v>18</v>
      </c>
      <c r="J1071" s="195" t="str">
        <f>J1070</f>
        <v>1560 mm id</v>
      </c>
      <c r="K1071" s="221">
        <v>1</v>
      </c>
      <c r="L1071" s="195" t="s">
        <v>81</v>
      </c>
      <c r="M1071" s="214">
        <f t="shared" si="406"/>
        <v>4.9015199999999997</v>
      </c>
      <c r="N1071" s="195" t="s">
        <v>139</v>
      </c>
      <c r="O1071" s="205">
        <v>0.5</v>
      </c>
      <c r="P1071" s="195" t="s">
        <v>112</v>
      </c>
      <c r="Q1071" s="227">
        <f t="shared" si="407"/>
        <v>2.4507599999999998</v>
      </c>
      <c r="R1071" s="226">
        <v>1</v>
      </c>
      <c r="S1071" s="227">
        <f t="shared" si="399"/>
        <v>3.45</v>
      </c>
      <c r="T1071" s="203" t="s">
        <v>48</v>
      </c>
      <c r="U1071" s="183" t="str">
        <f t="shared" si="398"/>
        <v>3.45 Hrs</v>
      </c>
    </row>
    <row r="1072" spans="3:21" s="172" customFormat="1" ht="20.25" customHeight="1">
      <c r="C1072" s="185">
        <f>D1072</f>
        <v>1072</v>
      </c>
      <c r="D1072" s="190">
        <f t="shared" si="375"/>
        <v>1072</v>
      </c>
      <c r="E1072" s="191" t="s">
        <v>449</v>
      </c>
      <c r="F1072" s="197">
        <f>D1067</f>
        <v>1067</v>
      </c>
      <c r="G1072" s="195"/>
      <c r="H1072" s="195"/>
      <c r="I1072" s="195"/>
      <c r="J1072" s="195"/>
      <c r="K1072" s="221"/>
      <c r="L1072" s="195"/>
      <c r="M1072" s="204"/>
      <c r="N1072" s="195"/>
      <c r="O1072" s="205"/>
      <c r="P1072" s="195"/>
      <c r="Q1072" s="227"/>
      <c r="R1072" s="226"/>
      <c r="S1072" s="227"/>
      <c r="T1072" s="203"/>
      <c r="U1072" s="183"/>
    </row>
    <row r="1073" spans="3:21" s="172" customFormat="1" ht="20.25" customHeight="1">
      <c r="C1073" s="185"/>
      <c r="D1073" s="190">
        <f t="shared" si="375"/>
        <v>1073</v>
      </c>
      <c r="E1073" s="194" t="s">
        <v>450</v>
      </c>
      <c r="F1073" s="198"/>
      <c r="G1073" s="193" t="s">
        <v>201</v>
      </c>
      <c r="H1073" s="193"/>
      <c r="I1073" s="211">
        <v>12</v>
      </c>
      <c r="J1073" s="195" t="str">
        <f>J1071</f>
        <v>1560 mm id</v>
      </c>
      <c r="K1073" s="221">
        <v>1</v>
      </c>
      <c r="L1073" s="195" t="s">
        <v>81</v>
      </c>
      <c r="M1073" s="204">
        <v>1</v>
      </c>
      <c r="N1073" s="195" t="s">
        <v>249</v>
      </c>
      <c r="O1073" s="205">
        <v>1</v>
      </c>
      <c r="P1073" s="195" t="s">
        <v>112</v>
      </c>
      <c r="Q1073" s="227">
        <f t="shared" ref="Q1073:Q1077" si="409">M1073*O1073</f>
        <v>1</v>
      </c>
      <c r="R1073" s="226">
        <v>1</v>
      </c>
      <c r="S1073" s="227">
        <f t="shared" si="399"/>
        <v>2</v>
      </c>
      <c r="T1073" s="203" t="s">
        <v>48</v>
      </c>
      <c r="U1073" s="183" t="str">
        <f t="shared" si="398"/>
        <v>2 Hrs</v>
      </c>
    </row>
    <row r="1074" spans="3:21" s="172" customFormat="1" ht="20.25" customHeight="1">
      <c r="C1074" s="185"/>
      <c r="D1074" s="190">
        <f t="shared" si="375"/>
        <v>1074</v>
      </c>
      <c r="E1074" s="194" t="s">
        <v>451</v>
      </c>
      <c r="F1074" s="198">
        <f t="shared" ref="F1074:F1077" si="410">D1073</f>
        <v>1073</v>
      </c>
      <c r="G1074" s="193" t="s">
        <v>115</v>
      </c>
      <c r="H1074" s="193"/>
      <c r="I1074" s="211">
        <v>12</v>
      </c>
      <c r="J1074" s="195" t="str">
        <f>J1073</f>
        <v>1560 mm id</v>
      </c>
      <c r="K1074" s="221">
        <v>1</v>
      </c>
      <c r="L1074" s="195" t="s">
        <v>81</v>
      </c>
      <c r="M1074" s="214">
        <f t="shared" ref="M1074:M1077" si="411">LEFT(J1074,SEARCH(" ",J1074,1)-1)*K1074*3.142*0.001</f>
        <v>4.9015199999999997</v>
      </c>
      <c r="N1074" s="195" t="s">
        <v>249</v>
      </c>
      <c r="O1074" s="233">
        <f>VLOOKUP(I1074,BM!$B$3:$Y$62,17,FALSE)</f>
        <v>2.5</v>
      </c>
      <c r="P1074" s="195" t="s">
        <v>112</v>
      </c>
      <c r="Q1074" s="227">
        <f t="shared" si="409"/>
        <v>12.253799999999998</v>
      </c>
      <c r="R1074" s="226">
        <v>1</v>
      </c>
      <c r="S1074" s="227">
        <f t="shared" si="399"/>
        <v>13.25</v>
      </c>
      <c r="T1074" s="203" t="s">
        <v>48</v>
      </c>
      <c r="U1074" s="183" t="str">
        <f t="shared" si="398"/>
        <v>13.25 Hrs</v>
      </c>
    </row>
    <row r="1075" spans="3:21" s="172" customFormat="1" ht="20.25" customHeight="1">
      <c r="C1075" s="185"/>
      <c r="D1075" s="190">
        <f t="shared" si="375"/>
        <v>1075</v>
      </c>
      <c r="E1075" s="194" t="s">
        <v>452</v>
      </c>
      <c r="F1075" s="198">
        <f t="shared" si="410"/>
        <v>1074</v>
      </c>
      <c r="G1075" s="193" t="s">
        <v>61</v>
      </c>
      <c r="H1075" s="193"/>
      <c r="I1075" s="211">
        <v>18</v>
      </c>
      <c r="J1075" s="195" t="str">
        <f>J1074</f>
        <v>1560 mm id</v>
      </c>
      <c r="K1075" s="221">
        <v>1</v>
      </c>
      <c r="L1075" s="195" t="s">
        <v>81</v>
      </c>
      <c r="M1075" s="214">
        <f t="shared" si="411"/>
        <v>4.9015199999999997</v>
      </c>
      <c r="N1075" s="195" t="s">
        <v>249</v>
      </c>
      <c r="O1075" s="233">
        <f>VLOOKUP(I1075,BM!$B$3:$Y$62,18,FALSE)</f>
        <v>1</v>
      </c>
      <c r="P1075" s="195" t="s">
        <v>112</v>
      </c>
      <c r="Q1075" s="227">
        <f t="shared" si="409"/>
        <v>4.9015199999999997</v>
      </c>
      <c r="R1075" s="226">
        <v>1</v>
      </c>
      <c r="S1075" s="227">
        <f t="shared" si="399"/>
        <v>5.9</v>
      </c>
      <c r="T1075" s="203" t="s">
        <v>48</v>
      </c>
      <c r="U1075" s="183" t="str">
        <f t="shared" si="398"/>
        <v>5.9 Hrs</v>
      </c>
    </row>
    <row r="1076" spans="3:21" s="172" customFormat="1" ht="20.25" customHeight="1">
      <c r="C1076" s="185"/>
      <c r="D1076" s="190">
        <f t="shared" si="375"/>
        <v>1076</v>
      </c>
      <c r="E1076" s="194" t="s">
        <v>453</v>
      </c>
      <c r="F1076" s="198">
        <f t="shared" si="410"/>
        <v>1075</v>
      </c>
      <c r="G1076" s="193" t="s">
        <v>115</v>
      </c>
      <c r="H1076" s="193"/>
      <c r="I1076" s="211">
        <v>6</v>
      </c>
      <c r="J1076" s="195" t="str">
        <f>J1075</f>
        <v>1560 mm id</v>
      </c>
      <c r="K1076" s="221">
        <v>1</v>
      </c>
      <c r="L1076" s="195" t="s">
        <v>81</v>
      </c>
      <c r="M1076" s="214">
        <f t="shared" si="411"/>
        <v>4.9015199999999997</v>
      </c>
      <c r="N1076" s="195" t="s">
        <v>249</v>
      </c>
      <c r="O1076" s="233">
        <f>VLOOKUP(I1076,BM!$B$3:$Y$62,17,FALSE)</f>
        <v>0.9</v>
      </c>
      <c r="P1076" s="195" t="s">
        <v>112</v>
      </c>
      <c r="Q1076" s="227">
        <f t="shared" si="409"/>
        <v>4.4113679999999995</v>
      </c>
      <c r="R1076" s="226">
        <v>1</v>
      </c>
      <c r="S1076" s="227">
        <f t="shared" si="399"/>
        <v>5.41</v>
      </c>
      <c r="T1076" s="203" t="s">
        <v>48</v>
      </c>
      <c r="U1076" s="183" t="str">
        <f t="shared" si="398"/>
        <v>5.41 Hrs</v>
      </c>
    </row>
    <row r="1077" spans="3:21" s="172" customFormat="1" ht="20.25" customHeight="1">
      <c r="C1077" s="185"/>
      <c r="D1077" s="190">
        <f t="shared" si="375"/>
        <v>1077</v>
      </c>
      <c r="E1077" s="194" t="s">
        <v>454</v>
      </c>
      <c r="F1077" s="198">
        <f t="shared" si="410"/>
        <v>1076</v>
      </c>
      <c r="G1077" s="193" t="s">
        <v>61</v>
      </c>
      <c r="H1077" s="193"/>
      <c r="I1077" s="211">
        <v>18</v>
      </c>
      <c r="J1077" s="195" t="str">
        <f>J1076</f>
        <v>1560 mm id</v>
      </c>
      <c r="K1077" s="221">
        <v>1</v>
      </c>
      <c r="L1077" s="195" t="s">
        <v>81</v>
      </c>
      <c r="M1077" s="214">
        <f t="shared" si="411"/>
        <v>4.9015199999999997</v>
      </c>
      <c r="N1077" s="195" t="s">
        <v>249</v>
      </c>
      <c r="O1077" s="233">
        <f>VLOOKUP(I1077,BM!$B$3:$Y$62,20,FALSE)</f>
        <v>0.5</v>
      </c>
      <c r="P1077" s="195" t="s">
        <v>112</v>
      </c>
      <c r="Q1077" s="227">
        <f t="shared" si="409"/>
        <v>2.4507599999999998</v>
      </c>
      <c r="R1077" s="226">
        <v>1</v>
      </c>
      <c r="S1077" s="227">
        <f t="shared" si="399"/>
        <v>3.45</v>
      </c>
      <c r="T1077" s="203" t="s">
        <v>48</v>
      </c>
      <c r="U1077" s="183" t="str">
        <f t="shared" si="398"/>
        <v>3.45 Hrs</v>
      </c>
    </row>
    <row r="1078" spans="3:21" s="172" customFormat="1" ht="20.25" customHeight="1">
      <c r="C1078" s="185">
        <f>D1078</f>
        <v>1078</v>
      </c>
      <c r="D1078" s="190">
        <f t="shared" si="375"/>
        <v>1078</v>
      </c>
      <c r="E1078" s="191" t="s">
        <v>455</v>
      </c>
      <c r="F1078" s="197">
        <f>C1072</f>
        <v>1072</v>
      </c>
      <c r="G1078" s="193"/>
      <c r="H1078" s="193"/>
      <c r="I1078" s="195"/>
      <c r="J1078" s="195"/>
      <c r="K1078" s="221"/>
      <c r="L1078" s="195"/>
      <c r="M1078" s="204"/>
      <c r="N1078" s="195"/>
      <c r="O1078" s="205"/>
      <c r="P1078" s="195"/>
      <c r="Q1078" s="227"/>
      <c r="R1078" s="226"/>
      <c r="S1078" s="227"/>
      <c r="T1078" s="203"/>
      <c r="U1078" s="183"/>
    </row>
    <row r="1079" spans="3:21" s="172" customFormat="1" ht="20.25" customHeight="1">
      <c r="C1079" s="185"/>
      <c r="D1079" s="190">
        <f t="shared" si="375"/>
        <v>1079</v>
      </c>
      <c r="E1079" s="194" t="s">
        <v>456</v>
      </c>
      <c r="F1079" s="198"/>
      <c r="G1079" s="193" t="s">
        <v>312</v>
      </c>
      <c r="H1079" s="193"/>
      <c r="I1079" s="211">
        <v>18</v>
      </c>
      <c r="J1079" s="195" t="str">
        <f>J1077</f>
        <v>1560 mm id</v>
      </c>
      <c r="K1079" s="221">
        <v>1</v>
      </c>
      <c r="L1079" s="195" t="s">
        <v>39</v>
      </c>
      <c r="M1079" s="204">
        <v>1</v>
      </c>
      <c r="N1079" s="195" t="s">
        <v>457</v>
      </c>
      <c r="O1079" s="205">
        <v>1</v>
      </c>
      <c r="P1079" s="195" t="s">
        <v>41</v>
      </c>
      <c r="Q1079" s="227">
        <f t="shared" ref="Q1079" si="412">M1079*O1079</f>
        <v>1</v>
      </c>
      <c r="R1079" s="226"/>
      <c r="S1079" s="227">
        <f t="shared" si="399"/>
        <v>1</v>
      </c>
      <c r="T1079" s="203" t="s">
        <v>42</v>
      </c>
      <c r="U1079" s="183" t="str">
        <f t="shared" si="398"/>
        <v>1 Days</v>
      </c>
    </row>
    <row r="1080" spans="3:21" s="172" customFormat="1" ht="20.25" customHeight="1">
      <c r="C1080" s="185">
        <f>D1080</f>
        <v>1080</v>
      </c>
      <c r="D1080" s="190">
        <f t="shared" si="375"/>
        <v>1080</v>
      </c>
      <c r="E1080" s="191" t="s">
        <v>458</v>
      </c>
      <c r="F1080" s="197">
        <f>C1078</f>
        <v>1078</v>
      </c>
      <c r="G1080" s="193"/>
      <c r="H1080" s="193"/>
      <c r="I1080" s="195"/>
      <c r="J1080" s="195"/>
      <c r="K1080" s="221"/>
      <c r="L1080" s="195"/>
      <c r="M1080" s="204"/>
      <c r="N1080" s="195"/>
      <c r="O1080" s="205"/>
      <c r="P1080" s="195"/>
      <c r="Q1080" s="227"/>
      <c r="R1080" s="226"/>
      <c r="S1080" s="227"/>
      <c r="T1080" s="203"/>
      <c r="U1080" s="183"/>
    </row>
    <row r="1081" spans="3:21" s="172" customFormat="1" ht="20.25" customHeight="1">
      <c r="C1081" s="185"/>
      <c r="D1081" s="190">
        <f t="shared" si="375"/>
        <v>1081</v>
      </c>
      <c r="E1081" s="194" t="s">
        <v>459</v>
      </c>
      <c r="F1081" s="198"/>
      <c r="G1081" s="193" t="s">
        <v>44</v>
      </c>
      <c r="H1081" s="193"/>
      <c r="I1081" s="211">
        <v>18</v>
      </c>
      <c r="J1081" s="195" t="str">
        <f>J1079</f>
        <v>1560 mm id</v>
      </c>
      <c r="K1081" s="221">
        <v>1</v>
      </c>
      <c r="L1081" s="195" t="s">
        <v>81</v>
      </c>
      <c r="M1081" s="204">
        <v>1</v>
      </c>
      <c r="N1081" s="195" t="s">
        <v>81</v>
      </c>
      <c r="O1081" s="205">
        <v>4</v>
      </c>
      <c r="P1081" s="195" t="s">
        <v>112</v>
      </c>
      <c r="Q1081" s="227">
        <f t="shared" ref="Q1081:Q1082" si="413">M1081*O1081</f>
        <v>4</v>
      </c>
      <c r="R1081" s="226">
        <v>1</v>
      </c>
      <c r="S1081" s="227">
        <f t="shared" si="399"/>
        <v>5</v>
      </c>
      <c r="T1081" s="203" t="s">
        <v>48</v>
      </c>
      <c r="U1081" s="183" t="str">
        <f t="shared" si="398"/>
        <v>5 Hrs</v>
      </c>
    </row>
    <row r="1082" spans="3:21" s="172" customFormat="1" ht="20.25" customHeight="1">
      <c r="C1082" s="185"/>
      <c r="D1082" s="190">
        <f t="shared" si="375"/>
        <v>1082</v>
      </c>
      <c r="E1082" s="194" t="s">
        <v>460</v>
      </c>
      <c r="F1082" s="198">
        <f t="shared" ref="F1082" si="414">D1081</f>
        <v>1081</v>
      </c>
      <c r="G1082" s="193" t="s">
        <v>44</v>
      </c>
      <c r="H1082" s="193"/>
      <c r="I1082" s="211">
        <v>18</v>
      </c>
      <c r="J1082" s="195" t="str">
        <f>J1081</f>
        <v>1560 mm id</v>
      </c>
      <c r="K1082" s="221">
        <v>1</v>
      </c>
      <c r="L1082" s="195" t="s">
        <v>81</v>
      </c>
      <c r="M1082" s="204">
        <v>1</v>
      </c>
      <c r="N1082" s="195" t="s">
        <v>81</v>
      </c>
      <c r="O1082" s="205">
        <v>4</v>
      </c>
      <c r="P1082" s="195" t="s">
        <v>112</v>
      </c>
      <c r="Q1082" s="227">
        <f t="shared" si="413"/>
        <v>4</v>
      </c>
      <c r="R1082" s="226">
        <v>1</v>
      </c>
      <c r="S1082" s="227">
        <f t="shared" si="399"/>
        <v>5</v>
      </c>
      <c r="T1082" s="203" t="s">
        <v>48</v>
      </c>
      <c r="U1082" s="183" t="str">
        <f t="shared" si="398"/>
        <v>5 Hrs</v>
      </c>
    </row>
    <row r="1083" spans="3:21" s="172" customFormat="1" ht="20.25" customHeight="1">
      <c r="C1083" s="185">
        <f>D1083</f>
        <v>1083</v>
      </c>
      <c r="D1083" s="190">
        <f t="shared" si="375"/>
        <v>1083</v>
      </c>
      <c r="E1083" s="191" t="s">
        <v>461</v>
      </c>
      <c r="F1083" s="197">
        <f>C1080</f>
        <v>1080</v>
      </c>
      <c r="G1083" s="193"/>
      <c r="H1083" s="193"/>
      <c r="I1083" s="195"/>
      <c r="J1083" s="195"/>
      <c r="K1083" s="221"/>
      <c r="L1083" s="195"/>
      <c r="M1083" s="204"/>
      <c r="N1083" s="195"/>
      <c r="O1083" s="205"/>
      <c r="P1083" s="195"/>
      <c r="Q1083" s="227"/>
      <c r="R1083" s="226"/>
      <c r="S1083" s="227"/>
      <c r="T1083" s="203"/>
      <c r="U1083" s="183"/>
    </row>
    <row r="1084" spans="3:21" s="172" customFormat="1" ht="20.25" customHeight="1">
      <c r="C1084" s="185"/>
      <c r="D1084" s="190">
        <f t="shared" si="375"/>
        <v>1084</v>
      </c>
      <c r="E1084" s="194" t="s">
        <v>462</v>
      </c>
      <c r="F1084" s="198"/>
      <c r="G1084" s="193" t="s">
        <v>52</v>
      </c>
      <c r="H1084" s="193"/>
      <c r="I1084" s="195"/>
      <c r="J1084" s="221" t="s">
        <v>463</v>
      </c>
      <c r="K1084" s="221">
        <v>1</v>
      </c>
      <c r="L1084" s="195" t="s">
        <v>39</v>
      </c>
      <c r="M1084" s="204">
        <v>1</v>
      </c>
      <c r="N1084" s="195"/>
      <c r="O1084" s="233" t="e">
        <f>VLOOKUP(J1084,BM!$B$3:$Y$62,2,FALSE)</f>
        <v>#N/A</v>
      </c>
      <c r="P1084" s="195" t="s">
        <v>112</v>
      </c>
      <c r="Q1084" s="227" t="e">
        <f t="shared" ref="Q1084:Q1085" si="415">M1084*O1084</f>
        <v>#N/A</v>
      </c>
      <c r="R1084" s="226">
        <v>1</v>
      </c>
      <c r="S1084" s="227" t="e">
        <f t="shared" si="399"/>
        <v>#N/A</v>
      </c>
      <c r="T1084" s="203" t="s">
        <v>48</v>
      </c>
      <c r="U1084" s="183" t="e">
        <f t="shared" si="398"/>
        <v>#N/A</v>
      </c>
    </row>
    <row r="1085" spans="3:21" s="172" customFormat="1" ht="20.25" customHeight="1">
      <c r="C1085" s="185"/>
      <c r="D1085" s="190">
        <f t="shared" si="375"/>
        <v>1085</v>
      </c>
      <c r="E1085" s="194" t="s">
        <v>464</v>
      </c>
      <c r="F1085" s="198">
        <f t="shared" ref="F1085" si="416">D1084</f>
        <v>1084</v>
      </c>
      <c r="G1085" s="193" t="s">
        <v>52</v>
      </c>
      <c r="H1085" s="193"/>
      <c r="I1085" s="195"/>
      <c r="J1085" s="221" t="s">
        <v>463</v>
      </c>
      <c r="K1085" s="221">
        <v>1</v>
      </c>
      <c r="L1085" s="195" t="s">
        <v>39</v>
      </c>
      <c r="M1085" s="204">
        <v>1</v>
      </c>
      <c r="N1085" s="195"/>
      <c r="O1085" s="233" t="e">
        <f>VLOOKUP(J1085,BM!$B$3:$Y$62,2,FALSE)</f>
        <v>#N/A</v>
      </c>
      <c r="P1085" s="195" t="s">
        <v>112</v>
      </c>
      <c r="Q1085" s="227" t="e">
        <f t="shared" si="415"/>
        <v>#N/A</v>
      </c>
      <c r="R1085" s="226">
        <v>1</v>
      </c>
      <c r="S1085" s="227" t="e">
        <f t="shared" si="399"/>
        <v>#N/A</v>
      </c>
      <c r="T1085" s="203" t="s">
        <v>48</v>
      </c>
      <c r="U1085" s="183" t="e">
        <f t="shared" si="398"/>
        <v>#N/A</v>
      </c>
    </row>
    <row r="1086" spans="3:21" s="172" customFormat="1" ht="20.25" customHeight="1">
      <c r="C1086" s="185">
        <f>D1086</f>
        <v>1086</v>
      </c>
      <c r="D1086" s="190">
        <f t="shared" si="375"/>
        <v>1086</v>
      </c>
      <c r="E1086" s="191" t="s">
        <v>465</v>
      </c>
      <c r="F1086" s="197">
        <f>C1083</f>
        <v>1083</v>
      </c>
      <c r="G1086" s="193"/>
      <c r="H1086" s="193"/>
      <c r="I1086" s="195"/>
      <c r="J1086" s="195"/>
      <c r="K1086" s="221"/>
      <c r="L1086" s="195"/>
      <c r="M1086" s="204"/>
      <c r="N1086" s="195"/>
      <c r="O1086" s="205"/>
      <c r="P1086" s="195"/>
      <c r="Q1086" s="227"/>
      <c r="R1086" s="226"/>
      <c r="S1086" s="227"/>
      <c r="T1086" s="203"/>
      <c r="U1086" s="183"/>
    </row>
    <row r="1087" spans="3:21" s="172" customFormat="1" ht="20.25" customHeight="1">
      <c r="C1087" s="185"/>
      <c r="D1087" s="190">
        <f t="shared" si="375"/>
        <v>1087</v>
      </c>
      <c r="E1087" s="194" t="s">
        <v>466</v>
      </c>
      <c r="F1087" s="198"/>
      <c r="G1087" s="193" t="s">
        <v>121</v>
      </c>
      <c r="H1087" s="193"/>
      <c r="I1087" s="195"/>
      <c r="J1087" s="195" t="str">
        <f>J1085</f>
        <v>400nb</v>
      </c>
      <c r="K1087" s="221">
        <v>1</v>
      </c>
      <c r="L1087" s="195" t="s">
        <v>39</v>
      </c>
      <c r="M1087" s="204">
        <v>1</v>
      </c>
      <c r="N1087" s="195"/>
      <c r="O1087" s="233" t="e">
        <f>VLOOKUP(J1087,BM!$B$3:$Y$62,4,FALSE)</f>
        <v>#N/A</v>
      </c>
      <c r="P1087" s="195" t="s">
        <v>112</v>
      </c>
      <c r="Q1087" s="227" t="e">
        <f t="shared" ref="Q1087:Q1088" si="417">M1087*O1087</f>
        <v>#N/A</v>
      </c>
      <c r="R1087" s="226">
        <v>1</v>
      </c>
      <c r="S1087" s="227" t="e">
        <f t="shared" si="399"/>
        <v>#N/A</v>
      </c>
      <c r="T1087" s="203" t="s">
        <v>48</v>
      </c>
      <c r="U1087" s="183" t="e">
        <f t="shared" si="398"/>
        <v>#N/A</v>
      </c>
    </row>
    <row r="1088" spans="3:21" s="172" customFormat="1" ht="20.25" customHeight="1">
      <c r="C1088" s="185"/>
      <c r="D1088" s="190">
        <f t="shared" si="375"/>
        <v>1088</v>
      </c>
      <c r="E1088" s="194" t="s">
        <v>467</v>
      </c>
      <c r="F1088" s="198">
        <f t="shared" ref="F1088" si="418">D1087</f>
        <v>1087</v>
      </c>
      <c r="G1088" s="193" t="s">
        <v>121</v>
      </c>
      <c r="H1088" s="193"/>
      <c r="I1088" s="195"/>
      <c r="J1088" s="195" t="str">
        <f>J1085</f>
        <v>400nb</v>
      </c>
      <c r="K1088" s="221">
        <v>1</v>
      </c>
      <c r="L1088" s="195" t="s">
        <v>39</v>
      </c>
      <c r="M1088" s="204">
        <v>1</v>
      </c>
      <c r="N1088" s="195"/>
      <c r="O1088" s="233" t="e">
        <f>VLOOKUP(J1088,BM!$B$3:$Y$62,4,FALSE)</f>
        <v>#N/A</v>
      </c>
      <c r="P1088" s="195" t="s">
        <v>112</v>
      </c>
      <c r="Q1088" s="227" t="e">
        <f t="shared" si="417"/>
        <v>#N/A</v>
      </c>
      <c r="R1088" s="226">
        <v>1</v>
      </c>
      <c r="S1088" s="227" t="e">
        <f t="shared" si="399"/>
        <v>#N/A</v>
      </c>
      <c r="T1088" s="203" t="s">
        <v>48</v>
      </c>
      <c r="U1088" s="183" t="e">
        <f t="shared" si="398"/>
        <v>#N/A</v>
      </c>
    </row>
    <row r="1089" spans="3:21" s="172" customFormat="1" ht="20.25" customHeight="1">
      <c r="C1089" s="185">
        <f>D1089</f>
        <v>1089</v>
      </c>
      <c r="D1089" s="190">
        <f t="shared" si="375"/>
        <v>1089</v>
      </c>
      <c r="E1089" s="191" t="s">
        <v>468</v>
      </c>
      <c r="F1089" s="197">
        <f>C1086</f>
        <v>1086</v>
      </c>
      <c r="G1089" s="193"/>
      <c r="H1089" s="193"/>
      <c r="I1089" s="195"/>
      <c r="J1089" s="195"/>
      <c r="K1089" s="221"/>
      <c r="L1089" s="195"/>
      <c r="M1089" s="204"/>
      <c r="N1089" s="195"/>
      <c r="O1089" s="205"/>
      <c r="P1089" s="195"/>
      <c r="Q1089" s="227"/>
      <c r="R1089" s="226"/>
      <c r="S1089" s="227"/>
      <c r="T1089" s="203"/>
      <c r="U1089" s="183"/>
    </row>
    <row r="1090" spans="3:21" s="172" customFormat="1" ht="20.25" customHeight="1">
      <c r="C1090" s="185"/>
      <c r="D1090" s="190">
        <f t="shared" si="375"/>
        <v>1090</v>
      </c>
      <c r="E1090" s="194" t="s">
        <v>469</v>
      </c>
      <c r="F1090" s="198"/>
      <c r="G1090" s="193" t="s">
        <v>111</v>
      </c>
      <c r="H1090" s="193"/>
      <c r="I1090" s="195"/>
      <c r="J1090" s="195" t="s">
        <v>463</v>
      </c>
      <c r="K1090" s="221">
        <v>1</v>
      </c>
      <c r="L1090" s="195" t="s">
        <v>39</v>
      </c>
      <c r="M1090" s="204">
        <v>1</v>
      </c>
      <c r="N1090" s="195" t="s">
        <v>39</v>
      </c>
      <c r="O1090" s="233" t="e">
        <f>VLOOKUP(J1090,BM!$B$3:$Y$62,5,FALSE)</f>
        <v>#N/A</v>
      </c>
      <c r="P1090" s="195" t="s">
        <v>112</v>
      </c>
      <c r="Q1090" s="227" t="e">
        <f t="shared" ref="Q1090:Q1091" si="419">M1090*O1090</f>
        <v>#N/A</v>
      </c>
      <c r="R1090" s="226">
        <v>1</v>
      </c>
      <c r="S1090" s="227" t="e">
        <f t="shared" si="399"/>
        <v>#N/A</v>
      </c>
      <c r="T1090" s="203" t="s">
        <v>48</v>
      </c>
      <c r="U1090" s="183" t="e">
        <f t="shared" si="398"/>
        <v>#N/A</v>
      </c>
    </row>
    <row r="1091" spans="3:21" s="172" customFormat="1" ht="20.25" customHeight="1">
      <c r="C1091" s="185"/>
      <c r="D1091" s="190">
        <f t="shared" ref="D1091:D1164" si="420">D1090+1</f>
        <v>1091</v>
      </c>
      <c r="E1091" s="194" t="s">
        <v>470</v>
      </c>
      <c r="F1091" s="198">
        <f t="shared" ref="F1091" si="421">D1090</f>
        <v>1090</v>
      </c>
      <c r="G1091" s="193" t="s">
        <v>111</v>
      </c>
      <c r="H1091" s="193"/>
      <c r="I1091" s="195"/>
      <c r="J1091" s="195" t="s">
        <v>463</v>
      </c>
      <c r="K1091" s="221">
        <v>1</v>
      </c>
      <c r="L1091" s="195" t="s">
        <v>39</v>
      </c>
      <c r="M1091" s="204">
        <v>1</v>
      </c>
      <c r="N1091" s="195" t="s">
        <v>39</v>
      </c>
      <c r="O1091" s="233" t="e">
        <f>VLOOKUP(J1091,BM!$B$3:$Y$62,5,FALSE)</f>
        <v>#N/A</v>
      </c>
      <c r="P1091" s="195" t="s">
        <v>112</v>
      </c>
      <c r="Q1091" s="227" t="e">
        <f t="shared" si="419"/>
        <v>#N/A</v>
      </c>
      <c r="R1091" s="226">
        <v>1</v>
      </c>
      <c r="S1091" s="227" t="e">
        <f t="shared" si="399"/>
        <v>#N/A</v>
      </c>
      <c r="T1091" s="203" t="s">
        <v>48</v>
      </c>
      <c r="U1091" s="183" t="e">
        <f t="shared" si="398"/>
        <v>#N/A</v>
      </c>
    </row>
    <row r="1092" spans="3:21" s="172" customFormat="1" ht="20.25" customHeight="1">
      <c r="C1092" s="185">
        <f>D1092</f>
        <v>1092</v>
      </c>
      <c r="D1092" s="190">
        <f t="shared" si="420"/>
        <v>1092</v>
      </c>
      <c r="E1092" s="191" t="s">
        <v>691</v>
      </c>
      <c r="F1092" s="197">
        <f>C1089</f>
        <v>1089</v>
      </c>
      <c r="G1092" s="193"/>
      <c r="H1092" s="193"/>
      <c r="I1092" s="195"/>
      <c r="J1092" s="195"/>
      <c r="K1092" s="221"/>
      <c r="L1092" s="195"/>
      <c r="M1092" s="204"/>
      <c r="N1092" s="195"/>
      <c r="O1092" s="205"/>
      <c r="P1092" s="195"/>
      <c r="Q1092" s="227">
        <f t="shared" ref="Q1092:Q1101" si="422">M1092*O1092</f>
        <v>0</v>
      </c>
      <c r="R1092" s="226"/>
      <c r="S1092" s="227"/>
      <c r="T1092" s="203" t="s">
        <v>48</v>
      </c>
      <c r="U1092" s="183"/>
    </row>
    <row r="1093" spans="3:21" s="172" customFormat="1" ht="20.25" customHeight="1">
      <c r="C1093" s="185"/>
      <c r="D1093" s="190">
        <f t="shared" ref="D1093:D1101" si="423">D1092+1</f>
        <v>1093</v>
      </c>
      <c r="E1093" s="194" t="s">
        <v>692</v>
      </c>
      <c r="F1093" s="198"/>
      <c r="G1093" s="193" t="s">
        <v>299</v>
      </c>
      <c r="H1093" s="193"/>
      <c r="I1093" s="195"/>
      <c r="J1093" s="195"/>
      <c r="K1093" s="221">
        <v>1</v>
      </c>
      <c r="L1093" s="195" t="s">
        <v>39</v>
      </c>
      <c r="M1093" s="204">
        <v>1</v>
      </c>
      <c r="N1093" s="195" t="s">
        <v>249</v>
      </c>
      <c r="O1093" s="205">
        <v>16</v>
      </c>
      <c r="P1093" s="195" t="s">
        <v>112</v>
      </c>
      <c r="Q1093" s="227">
        <f t="shared" si="422"/>
        <v>16</v>
      </c>
      <c r="R1093" s="226">
        <v>1</v>
      </c>
      <c r="S1093" s="227">
        <f t="shared" si="399"/>
        <v>17</v>
      </c>
      <c r="T1093" s="203" t="s">
        <v>48</v>
      </c>
      <c r="U1093" s="183" t="str">
        <f t="shared" si="398"/>
        <v>17 Hrs</v>
      </c>
    </row>
    <row r="1094" spans="3:21" s="172" customFormat="1" ht="20.25" customHeight="1">
      <c r="C1094" s="185"/>
      <c r="D1094" s="190">
        <f t="shared" si="423"/>
        <v>1094</v>
      </c>
      <c r="E1094" s="194" t="s">
        <v>693</v>
      </c>
      <c r="F1094" s="198"/>
      <c r="G1094" s="193" t="s">
        <v>299</v>
      </c>
      <c r="H1094" s="193"/>
      <c r="I1094" s="211" t="s">
        <v>376</v>
      </c>
      <c r="J1094" s="221" t="s">
        <v>376</v>
      </c>
      <c r="K1094" s="221">
        <v>1</v>
      </c>
      <c r="L1094" s="195" t="s">
        <v>39</v>
      </c>
      <c r="M1094" s="204">
        <v>1</v>
      </c>
      <c r="N1094" s="195" t="s">
        <v>249</v>
      </c>
      <c r="O1094" s="233" t="e">
        <f>VLOOKUP(I1094,BM!$B$3:$Y$62,11,FALSE)</f>
        <v>#N/A</v>
      </c>
      <c r="P1094" s="195" t="s">
        <v>112</v>
      </c>
      <c r="Q1094" s="227" t="e">
        <f t="shared" si="422"/>
        <v>#N/A</v>
      </c>
      <c r="R1094" s="226">
        <v>1</v>
      </c>
      <c r="S1094" s="227" t="e">
        <f t="shared" si="399"/>
        <v>#N/A</v>
      </c>
      <c r="T1094" s="203" t="s">
        <v>48</v>
      </c>
      <c r="U1094" s="183" t="e">
        <f t="shared" si="398"/>
        <v>#N/A</v>
      </c>
    </row>
    <row r="1095" spans="3:21" s="172" customFormat="1" ht="20.25" customHeight="1">
      <c r="C1095" s="185"/>
      <c r="D1095" s="190">
        <f t="shared" si="423"/>
        <v>1095</v>
      </c>
      <c r="E1095" s="194" t="s">
        <v>694</v>
      </c>
      <c r="F1095" s="198"/>
      <c r="G1095" s="193" t="s">
        <v>299</v>
      </c>
      <c r="H1095" s="193"/>
      <c r="I1095" s="211" t="s">
        <v>463</v>
      </c>
      <c r="J1095" s="221" t="s">
        <v>695</v>
      </c>
      <c r="K1095" s="221">
        <v>1</v>
      </c>
      <c r="L1095" s="195" t="s">
        <v>39</v>
      </c>
      <c r="M1095" s="204">
        <v>1</v>
      </c>
      <c r="N1095" s="195" t="s">
        <v>249</v>
      </c>
      <c r="O1095" s="233" t="e">
        <f>VLOOKUP(I1095,BM!$B$3:$Y$62,11,FALSE)</f>
        <v>#N/A</v>
      </c>
      <c r="P1095" s="195" t="s">
        <v>112</v>
      </c>
      <c r="Q1095" s="227" t="e">
        <f t="shared" si="422"/>
        <v>#N/A</v>
      </c>
      <c r="R1095" s="226">
        <v>1</v>
      </c>
      <c r="S1095" s="227" t="e">
        <f t="shared" si="399"/>
        <v>#N/A</v>
      </c>
      <c r="T1095" s="203" t="s">
        <v>48</v>
      </c>
      <c r="U1095" s="183" t="e">
        <f t="shared" si="398"/>
        <v>#N/A</v>
      </c>
    </row>
    <row r="1096" spans="3:21" s="172" customFormat="1" ht="20.25" customHeight="1">
      <c r="C1096" s="185"/>
      <c r="D1096" s="190">
        <f t="shared" si="423"/>
        <v>1096</v>
      </c>
      <c r="E1096" s="194" t="s">
        <v>696</v>
      </c>
      <c r="F1096" s="198"/>
      <c r="G1096" s="193" t="s">
        <v>115</v>
      </c>
      <c r="H1096" s="193"/>
      <c r="I1096" s="211">
        <v>18</v>
      </c>
      <c r="J1096" s="221" t="s">
        <v>697</v>
      </c>
      <c r="K1096" s="221">
        <v>1</v>
      </c>
      <c r="L1096" s="195" t="s">
        <v>39</v>
      </c>
      <c r="M1096" s="214">
        <f>LEFT(J1096,SEARCH(" ",J1096,1)-1)*3.142/1000</f>
        <v>3.0540240000000001</v>
      </c>
      <c r="N1096" s="195" t="s">
        <v>249</v>
      </c>
      <c r="O1096" s="233">
        <f>VLOOKUP(I1096,BM!$B$3:$Y$62,17,FALSE)</f>
        <v>4.9000000000000004</v>
      </c>
      <c r="P1096" s="195" t="s">
        <v>112</v>
      </c>
      <c r="Q1096" s="227">
        <f t="shared" si="422"/>
        <v>14.964717600000002</v>
      </c>
      <c r="R1096" s="226">
        <v>1</v>
      </c>
      <c r="S1096" s="227">
        <f t="shared" si="399"/>
        <v>15.96</v>
      </c>
      <c r="T1096" s="203" t="s">
        <v>48</v>
      </c>
      <c r="U1096" s="183" t="str">
        <f t="shared" si="398"/>
        <v>15.96 Hrs</v>
      </c>
    </row>
    <row r="1097" spans="3:21" s="172" customFormat="1" ht="20.25" customHeight="1">
      <c r="C1097" s="185"/>
      <c r="D1097" s="190">
        <f t="shared" si="423"/>
        <v>1097</v>
      </c>
      <c r="E1097" s="194" t="s">
        <v>698</v>
      </c>
      <c r="F1097" s="198"/>
      <c r="G1097" s="193" t="s">
        <v>115</v>
      </c>
      <c r="H1097" s="193"/>
      <c r="I1097" s="211">
        <v>18</v>
      </c>
      <c r="J1097" s="221" t="s">
        <v>699</v>
      </c>
      <c r="K1097" s="221">
        <v>1</v>
      </c>
      <c r="L1097" s="195" t="s">
        <v>39</v>
      </c>
      <c r="M1097" s="214">
        <f>LEFT(J1097,SEARCH(" ",J1097,1)-1)*3.142/1000</f>
        <v>1.2787939999999998</v>
      </c>
      <c r="N1097" s="195" t="s">
        <v>249</v>
      </c>
      <c r="O1097" s="233">
        <f>VLOOKUP(I1097,BM!$B$3:$Y$62,17,FALSE)</f>
        <v>4.9000000000000004</v>
      </c>
      <c r="P1097" s="195" t="s">
        <v>112</v>
      </c>
      <c r="Q1097" s="227">
        <f t="shared" si="422"/>
        <v>6.2660905999999992</v>
      </c>
      <c r="R1097" s="226">
        <v>1</v>
      </c>
      <c r="S1097" s="227">
        <f t="shared" si="399"/>
        <v>7.27</v>
      </c>
      <c r="T1097" s="203" t="s">
        <v>48</v>
      </c>
      <c r="U1097" s="183" t="str">
        <f t="shared" si="398"/>
        <v>7.27 Hrs</v>
      </c>
    </row>
    <row r="1098" spans="3:21" s="172" customFormat="1" ht="20.25" customHeight="1">
      <c r="C1098" s="185"/>
      <c r="D1098" s="190">
        <f t="shared" si="423"/>
        <v>1098</v>
      </c>
      <c r="E1098" s="194" t="s">
        <v>700</v>
      </c>
      <c r="F1098" s="198"/>
      <c r="G1098" s="193" t="s">
        <v>299</v>
      </c>
      <c r="H1098" s="193"/>
      <c r="I1098" s="195"/>
      <c r="J1098" s="195"/>
      <c r="K1098" s="221">
        <v>1</v>
      </c>
      <c r="L1098" s="195" t="s">
        <v>39</v>
      </c>
      <c r="M1098" s="204">
        <v>1</v>
      </c>
      <c r="N1098" s="195" t="s">
        <v>39</v>
      </c>
      <c r="O1098" s="205">
        <v>12</v>
      </c>
      <c r="P1098" s="195" t="s">
        <v>112</v>
      </c>
      <c r="Q1098" s="227">
        <f t="shared" si="422"/>
        <v>12</v>
      </c>
      <c r="R1098" s="226">
        <v>1</v>
      </c>
      <c r="S1098" s="227">
        <f t="shared" si="399"/>
        <v>13</v>
      </c>
      <c r="T1098" s="203" t="s">
        <v>48</v>
      </c>
      <c r="U1098" s="183" t="str">
        <f t="shared" si="398"/>
        <v>13 Hrs</v>
      </c>
    </row>
    <row r="1099" spans="3:21" s="172" customFormat="1" ht="20.25" customHeight="1">
      <c r="C1099" s="185"/>
      <c r="D1099" s="190">
        <f t="shared" si="423"/>
        <v>1099</v>
      </c>
      <c r="E1099" s="194" t="s">
        <v>701</v>
      </c>
      <c r="F1099" s="198"/>
      <c r="G1099" s="193" t="s">
        <v>121</v>
      </c>
      <c r="H1099" s="193"/>
      <c r="I1099" s="211">
        <v>18</v>
      </c>
      <c r="J1099" s="221" t="s">
        <v>697</v>
      </c>
      <c r="K1099" s="221">
        <v>1</v>
      </c>
      <c r="L1099" s="195" t="s">
        <v>39</v>
      </c>
      <c r="M1099" s="214">
        <f>LEFT(J1099,SEARCH(" ",J1099,1)-1)*3.142/1000</f>
        <v>3.0540240000000001</v>
      </c>
      <c r="N1099" s="195" t="s">
        <v>249</v>
      </c>
      <c r="O1099" s="233">
        <f>VLOOKUP(I1099,BM!$B$3:$Y$62,20,FALSE)</f>
        <v>0.5</v>
      </c>
      <c r="P1099" s="195" t="s">
        <v>112</v>
      </c>
      <c r="Q1099" s="227">
        <f t="shared" si="422"/>
        <v>1.527012</v>
      </c>
      <c r="R1099" s="226">
        <v>1</v>
      </c>
      <c r="S1099" s="227">
        <f t="shared" si="399"/>
        <v>2.5299999999999998</v>
      </c>
      <c r="T1099" s="203" t="s">
        <v>48</v>
      </c>
      <c r="U1099" s="183" t="str">
        <f t="shared" si="398"/>
        <v>2.53 Hrs</v>
      </c>
    </row>
    <row r="1100" spans="3:21" s="172" customFormat="1" ht="20.25" customHeight="1">
      <c r="C1100" s="185"/>
      <c r="D1100" s="190">
        <f t="shared" si="423"/>
        <v>1100</v>
      </c>
      <c r="E1100" s="194" t="s">
        <v>702</v>
      </c>
      <c r="F1100" s="198"/>
      <c r="G1100" s="193" t="s">
        <v>121</v>
      </c>
      <c r="H1100" s="193"/>
      <c r="I1100" s="211">
        <v>18</v>
      </c>
      <c r="J1100" s="221" t="s">
        <v>699</v>
      </c>
      <c r="K1100" s="221">
        <v>1</v>
      </c>
      <c r="L1100" s="195" t="s">
        <v>39</v>
      </c>
      <c r="M1100" s="214">
        <f>LEFT(J1100,SEARCH(" ",J1100,1)-1)*3.142/1000</f>
        <v>1.2787939999999998</v>
      </c>
      <c r="N1100" s="195" t="s">
        <v>249</v>
      </c>
      <c r="O1100" s="233">
        <f>VLOOKUP(I1100,BM!$B$3:$Y$62,20,FALSE)</f>
        <v>0.5</v>
      </c>
      <c r="P1100" s="195" t="s">
        <v>112</v>
      </c>
      <c r="Q1100" s="227">
        <f t="shared" si="422"/>
        <v>0.63939699999999988</v>
      </c>
      <c r="R1100" s="226">
        <v>1</v>
      </c>
      <c r="S1100" s="227">
        <f t="shared" si="399"/>
        <v>1.64</v>
      </c>
      <c r="T1100" s="203" t="s">
        <v>48</v>
      </c>
      <c r="U1100" s="183" t="str">
        <f t="shared" si="398"/>
        <v>1.64 Hrs</v>
      </c>
    </row>
    <row r="1101" spans="3:21" s="172" customFormat="1" ht="20.25" customHeight="1">
      <c r="C1101" s="185"/>
      <c r="D1101" s="190">
        <f t="shared" si="423"/>
        <v>1101</v>
      </c>
      <c r="E1101" s="194" t="s">
        <v>703</v>
      </c>
      <c r="F1101" s="198"/>
      <c r="G1101" s="193" t="s">
        <v>312</v>
      </c>
      <c r="H1101" s="193"/>
      <c r="I1101" s="220">
        <f>I1099</f>
        <v>18</v>
      </c>
      <c r="J1101" s="212" t="str">
        <f t="shared" ref="J1101:M1101" si="424">J1099</f>
        <v>972 mm dia</v>
      </c>
      <c r="K1101" s="212">
        <f t="shared" si="424"/>
        <v>1</v>
      </c>
      <c r="L1101" s="198" t="str">
        <f t="shared" si="424"/>
        <v>No</v>
      </c>
      <c r="M1101" s="222">
        <f t="shared" si="424"/>
        <v>3.0540240000000001</v>
      </c>
      <c r="N1101" s="195" t="s">
        <v>39</v>
      </c>
      <c r="O1101" s="205">
        <v>1</v>
      </c>
      <c r="P1101" s="195" t="s">
        <v>41</v>
      </c>
      <c r="Q1101" s="227">
        <f t="shared" si="422"/>
        <v>3.0540240000000001</v>
      </c>
      <c r="R1101" s="226"/>
      <c r="S1101" s="227">
        <f t="shared" si="399"/>
        <v>3.05</v>
      </c>
      <c r="T1101" s="203" t="s">
        <v>48</v>
      </c>
      <c r="U1101" s="183" t="str">
        <f t="shared" si="398"/>
        <v>3.05 Hrs</v>
      </c>
    </row>
    <row r="1102" spans="3:21" s="172" customFormat="1" ht="20.25" customHeight="1">
      <c r="C1102" s="185">
        <f>D1102</f>
        <v>1092</v>
      </c>
      <c r="D1102" s="190">
        <f>D1091+1</f>
        <v>1092</v>
      </c>
      <c r="E1102" s="191" t="s">
        <v>471</v>
      </c>
      <c r="F1102" s="197">
        <f>C1092</f>
        <v>1092</v>
      </c>
      <c r="G1102" s="193"/>
      <c r="H1102" s="193"/>
      <c r="I1102" s="195"/>
      <c r="J1102" s="195"/>
      <c r="K1102" s="221"/>
      <c r="L1102" s="195"/>
      <c r="M1102" s="204"/>
      <c r="N1102" s="195"/>
      <c r="O1102" s="205"/>
      <c r="P1102" s="195"/>
      <c r="Q1102" s="227"/>
      <c r="R1102" s="226"/>
      <c r="S1102" s="227"/>
      <c r="T1102" s="203"/>
      <c r="U1102" s="183"/>
    </row>
    <row r="1103" spans="3:21" s="172" customFormat="1" ht="20.25" customHeight="1">
      <c r="C1103" s="185"/>
      <c r="D1103" s="190">
        <f t="shared" si="420"/>
        <v>1093</v>
      </c>
      <c r="E1103" s="194" t="s">
        <v>472</v>
      </c>
      <c r="F1103" s="198"/>
      <c r="G1103" s="193" t="s">
        <v>44</v>
      </c>
      <c r="H1103" s="193"/>
      <c r="I1103" s="195"/>
      <c r="J1103" s="195" t="s">
        <v>463</v>
      </c>
      <c r="K1103" s="221">
        <v>1</v>
      </c>
      <c r="L1103" s="195" t="s">
        <v>39</v>
      </c>
      <c r="M1103" s="204">
        <v>1</v>
      </c>
      <c r="N1103" s="195" t="s">
        <v>39</v>
      </c>
      <c r="O1103" s="205">
        <v>1</v>
      </c>
      <c r="P1103" s="195" t="s">
        <v>112</v>
      </c>
      <c r="Q1103" s="227">
        <f t="shared" ref="Q1103:Q1104" si="425">M1103*O1103</f>
        <v>1</v>
      </c>
      <c r="R1103" s="226">
        <v>1</v>
      </c>
      <c r="S1103" s="227">
        <f t="shared" si="399"/>
        <v>2</v>
      </c>
      <c r="T1103" s="203" t="s">
        <v>48</v>
      </c>
      <c r="U1103" s="183" t="str">
        <f t="shared" si="398"/>
        <v>2 Hrs</v>
      </c>
    </row>
    <row r="1104" spans="3:21" s="172" customFormat="1" ht="20.25" customHeight="1">
      <c r="C1104" s="185"/>
      <c r="D1104" s="190">
        <f t="shared" si="420"/>
        <v>1094</v>
      </c>
      <c r="E1104" s="194" t="s">
        <v>473</v>
      </c>
      <c r="F1104" s="198">
        <f t="shared" ref="F1104" si="426">D1103</f>
        <v>1093</v>
      </c>
      <c r="G1104" s="193" t="s">
        <v>44</v>
      </c>
      <c r="H1104" s="193"/>
      <c r="I1104" s="195"/>
      <c r="J1104" s="195" t="s">
        <v>463</v>
      </c>
      <c r="K1104" s="221">
        <v>1</v>
      </c>
      <c r="L1104" s="195" t="s">
        <v>39</v>
      </c>
      <c r="M1104" s="204">
        <v>1</v>
      </c>
      <c r="N1104" s="195" t="s">
        <v>39</v>
      </c>
      <c r="O1104" s="205">
        <v>1</v>
      </c>
      <c r="P1104" s="195" t="s">
        <v>112</v>
      </c>
      <c r="Q1104" s="227">
        <f t="shared" si="425"/>
        <v>1</v>
      </c>
      <c r="R1104" s="226">
        <v>1</v>
      </c>
      <c r="S1104" s="227">
        <f t="shared" si="399"/>
        <v>2</v>
      </c>
      <c r="T1104" s="203" t="s">
        <v>48</v>
      </c>
      <c r="U1104" s="183" t="str">
        <f t="shared" si="398"/>
        <v>2 Hrs</v>
      </c>
    </row>
    <row r="1105" spans="3:21" s="172" customFormat="1" ht="20.25" customHeight="1">
      <c r="C1105" s="185">
        <f>D1105</f>
        <v>1095</v>
      </c>
      <c r="D1105" s="190">
        <f t="shared" si="420"/>
        <v>1095</v>
      </c>
      <c r="E1105" s="191" t="s">
        <v>474</v>
      </c>
      <c r="F1105" s="197">
        <f>C1102</f>
        <v>1092</v>
      </c>
      <c r="G1105" s="193"/>
      <c r="H1105" s="193"/>
      <c r="I1105" s="195"/>
      <c r="J1105" s="195"/>
      <c r="K1105" s="221"/>
      <c r="L1105" s="195"/>
      <c r="M1105" s="204"/>
      <c r="N1105" s="195"/>
      <c r="O1105" s="205"/>
      <c r="P1105" s="195"/>
      <c r="Q1105" s="227"/>
      <c r="R1105" s="226"/>
      <c r="S1105" s="227"/>
      <c r="T1105" s="203"/>
      <c r="U1105" s="183"/>
    </row>
    <row r="1106" spans="3:21" s="172" customFormat="1" ht="20.25" customHeight="1">
      <c r="C1106" s="185"/>
      <c r="D1106" s="190">
        <f t="shared" si="420"/>
        <v>1096</v>
      </c>
      <c r="E1106" s="194" t="s">
        <v>475</v>
      </c>
      <c r="F1106" s="198"/>
      <c r="G1106" s="193" t="s">
        <v>201</v>
      </c>
      <c r="H1106" s="193"/>
      <c r="I1106" s="195"/>
      <c r="J1106" s="195" t="s">
        <v>463</v>
      </c>
      <c r="K1106" s="221">
        <v>2</v>
      </c>
      <c r="L1106" s="195" t="s">
        <v>81</v>
      </c>
      <c r="M1106" s="204">
        <v>1</v>
      </c>
      <c r="N1106" s="195" t="s">
        <v>39</v>
      </c>
      <c r="O1106" s="205">
        <v>0.5</v>
      </c>
      <c r="P1106" s="195" t="s">
        <v>112</v>
      </c>
      <c r="Q1106" s="227">
        <f t="shared" ref="Q1106:Q1114" si="427">M1106*O1106</f>
        <v>0.5</v>
      </c>
      <c r="R1106" s="226">
        <v>1</v>
      </c>
      <c r="S1106" s="227">
        <f t="shared" si="399"/>
        <v>1.5</v>
      </c>
      <c r="T1106" s="203" t="s">
        <v>48</v>
      </c>
      <c r="U1106" s="183" t="str">
        <f t="shared" si="398"/>
        <v>1.5 Hrs</v>
      </c>
    </row>
    <row r="1107" spans="3:21" s="172" customFormat="1" ht="20.25" customHeight="1">
      <c r="C1107" s="185"/>
      <c r="D1107" s="190">
        <f t="shared" si="420"/>
        <v>1097</v>
      </c>
      <c r="E1107" s="194" t="s">
        <v>476</v>
      </c>
      <c r="F1107" s="198">
        <f t="shared" ref="F1107:F1114" si="428">D1106</f>
        <v>1096</v>
      </c>
      <c r="G1107" s="193" t="s">
        <v>115</v>
      </c>
      <c r="H1107" s="193"/>
      <c r="I1107" s="211">
        <v>14</v>
      </c>
      <c r="J1107" s="221" t="s">
        <v>477</v>
      </c>
      <c r="K1107" s="221">
        <v>1</v>
      </c>
      <c r="L1107" s="195" t="s">
        <v>39</v>
      </c>
      <c r="M1107" s="222">
        <f>16*25.4*3.142*K1107/1000</f>
        <v>1.2769088</v>
      </c>
      <c r="N1107" s="195" t="s">
        <v>249</v>
      </c>
      <c r="O1107" s="233">
        <f>VLOOKUP(I1107,BM!$B$3:$Y$62,17,FALSE)</f>
        <v>3.22</v>
      </c>
      <c r="P1107" s="195" t="s">
        <v>112</v>
      </c>
      <c r="Q1107" s="227">
        <f t="shared" si="427"/>
        <v>4.1116463359999997</v>
      </c>
      <c r="R1107" s="226">
        <v>1</v>
      </c>
      <c r="S1107" s="227">
        <f t="shared" si="399"/>
        <v>5.1100000000000003</v>
      </c>
      <c r="T1107" s="203" t="s">
        <v>48</v>
      </c>
      <c r="U1107" s="183" t="str">
        <f t="shared" si="398"/>
        <v>5.11 Hrs</v>
      </c>
    </row>
    <row r="1108" spans="3:21" s="172" customFormat="1" ht="20.25" customHeight="1">
      <c r="C1108" s="185"/>
      <c r="D1108" s="190">
        <f t="shared" si="420"/>
        <v>1098</v>
      </c>
      <c r="E1108" s="194" t="s">
        <v>478</v>
      </c>
      <c r="F1108" s="198">
        <f t="shared" si="428"/>
        <v>1097</v>
      </c>
      <c r="G1108" s="193" t="s">
        <v>115</v>
      </c>
      <c r="H1108" s="193"/>
      <c r="I1108" s="211">
        <v>14</v>
      </c>
      <c r="J1108" s="221" t="s">
        <v>477</v>
      </c>
      <c r="K1108" s="221">
        <v>1</v>
      </c>
      <c r="L1108" s="195" t="s">
        <v>39</v>
      </c>
      <c r="M1108" s="222">
        <f>16*25.4*3.142*K1108/1000</f>
        <v>1.2769088</v>
      </c>
      <c r="N1108" s="195" t="s">
        <v>249</v>
      </c>
      <c r="O1108" s="233">
        <f>VLOOKUP(I1108,BM!$B$3:$Y$62,17,FALSE)</f>
        <v>3.22</v>
      </c>
      <c r="P1108" s="195" t="s">
        <v>112</v>
      </c>
      <c r="Q1108" s="227">
        <f t="shared" si="427"/>
        <v>4.1116463359999997</v>
      </c>
      <c r="R1108" s="226">
        <v>1</v>
      </c>
      <c r="S1108" s="227">
        <f t="shared" si="399"/>
        <v>5.1100000000000003</v>
      </c>
      <c r="T1108" s="203" t="s">
        <v>48</v>
      </c>
      <c r="U1108" s="183" t="str">
        <f t="shared" si="398"/>
        <v>5.11 Hrs</v>
      </c>
    </row>
    <row r="1109" spans="3:21" s="172" customFormat="1" ht="20.25" customHeight="1">
      <c r="C1109" s="185"/>
      <c r="D1109" s="190">
        <f t="shared" si="420"/>
        <v>1099</v>
      </c>
      <c r="E1109" s="194" t="s">
        <v>479</v>
      </c>
      <c r="F1109" s="198">
        <f t="shared" si="428"/>
        <v>1098</v>
      </c>
      <c r="G1109" s="193" t="s">
        <v>115</v>
      </c>
      <c r="H1109" s="193"/>
      <c r="I1109" s="211">
        <v>14</v>
      </c>
      <c r="J1109" s="221" t="s">
        <v>477</v>
      </c>
      <c r="K1109" s="221">
        <v>2</v>
      </c>
      <c r="L1109" s="195" t="s">
        <v>39</v>
      </c>
      <c r="M1109" s="204">
        <v>2</v>
      </c>
      <c r="N1109" s="195" t="s">
        <v>81</v>
      </c>
      <c r="O1109" s="205">
        <v>1</v>
      </c>
      <c r="P1109" s="195" t="s">
        <v>112</v>
      </c>
      <c r="Q1109" s="227">
        <f t="shared" si="427"/>
        <v>2</v>
      </c>
      <c r="R1109" s="226">
        <v>1</v>
      </c>
      <c r="S1109" s="227">
        <f t="shared" si="399"/>
        <v>3</v>
      </c>
      <c r="T1109" s="203" t="s">
        <v>48</v>
      </c>
      <c r="U1109" s="183" t="str">
        <f t="shared" si="398"/>
        <v>3 Hrs</v>
      </c>
    </row>
    <row r="1110" spans="3:21" s="172" customFormat="1" ht="20.25" customHeight="1">
      <c r="C1110" s="185"/>
      <c r="D1110" s="190">
        <f t="shared" si="420"/>
        <v>1100</v>
      </c>
      <c r="E1110" s="194" t="s">
        <v>480</v>
      </c>
      <c r="F1110" s="198">
        <f t="shared" si="428"/>
        <v>1099</v>
      </c>
      <c r="G1110" s="193" t="s">
        <v>115</v>
      </c>
      <c r="H1110" s="193"/>
      <c r="I1110" s="211">
        <v>6</v>
      </c>
      <c r="J1110" s="221" t="s">
        <v>477</v>
      </c>
      <c r="K1110" s="221">
        <v>1</v>
      </c>
      <c r="L1110" s="195" t="s">
        <v>39</v>
      </c>
      <c r="M1110" s="222">
        <f>16*25.4*3.142*K1110/1000</f>
        <v>1.2769088</v>
      </c>
      <c r="N1110" s="195" t="s">
        <v>249</v>
      </c>
      <c r="O1110" s="233">
        <f>VLOOKUP(I1110,BM!$B$3:$Y$62,17,FALSE)</f>
        <v>0.9</v>
      </c>
      <c r="P1110" s="195" t="s">
        <v>112</v>
      </c>
      <c r="Q1110" s="227">
        <f t="shared" si="427"/>
        <v>1.1492179199999999</v>
      </c>
      <c r="R1110" s="226">
        <v>1</v>
      </c>
      <c r="S1110" s="227">
        <f t="shared" si="399"/>
        <v>2.15</v>
      </c>
      <c r="T1110" s="203" t="s">
        <v>48</v>
      </c>
      <c r="U1110" s="183" t="str">
        <f t="shared" si="398"/>
        <v>2.15 Hrs</v>
      </c>
    </row>
    <row r="1111" spans="3:21" s="172" customFormat="1" ht="20.25" customHeight="1">
      <c r="C1111" s="185"/>
      <c r="D1111" s="190">
        <f t="shared" si="420"/>
        <v>1101</v>
      </c>
      <c r="E1111" s="194" t="s">
        <v>481</v>
      </c>
      <c r="F1111" s="198">
        <f t="shared" si="428"/>
        <v>1100</v>
      </c>
      <c r="G1111" s="193" t="s">
        <v>115</v>
      </c>
      <c r="H1111" s="193"/>
      <c r="I1111" s="211">
        <v>6</v>
      </c>
      <c r="J1111" s="221" t="s">
        <v>477</v>
      </c>
      <c r="K1111" s="221">
        <v>1</v>
      </c>
      <c r="L1111" s="195" t="s">
        <v>39</v>
      </c>
      <c r="M1111" s="222">
        <f>16*25.4*3.142*K1111/1000</f>
        <v>1.2769088</v>
      </c>
      <c r="N1111" s="195" t="s">
        <v>249</v>
      </c>
      <c r="O1111" s="233">
        <f>VLOOKUP(I1111,BM!$B$3:$Y$62,17,FALSE)</f>
        <v>0.9</v>
      </c>
      <c r="P1111" s="195" t="s">
        <v>112</v>
      </c>
      <c r="Q1111" s="227">
        <f t="shared" si="427"/>
        <v>1.1492179199999999</v>
      </c>
      <c r="R1111" s="226">
        <v>1</v>
      </c>
      <c r="S1111" s="227">
        <f t="shared" si="399"/>
        <v>2.15</v>
      </c>
      <c r="T1111" s="203" t="s">
        <v>48</v>
      </c>
      <c r="U1111" s="183" t="str">
        <f t="shared" si="398"/>
        <v>2.15 Hrs</v>
      </c>
    </row>
    <row r="1112" spans="3:21" s="172" customFormat="1" ht="20.25" customHeight="1">
      <c r="C1112" s="185"/>
      <c r="D1112" s="190">
        <f t="shared" si="420"/>
        <v>1102</v>
      </c>
      <c r="E1112" s="194" t="s">
        <v>482</v>
      </c>
      <c r="F1112" s="198">
        <f t="shared" si="428"/>
        <v>1101</v>
      </c>
      <c r="G1112" s="193" t="s">
        <v>115</v>
      </c>
      <c r="H1112" s="193"/>
      <c r="I1112" s="195"/>
      <c r="J1112" s="221" t="s">
        <v>463</v>
      </c>
      <c r="K1112" s="221">
        <v>2</v>
      </c>
      <c r="L1112" s="195" t="s">
        <v>39</v>
      </c>
      <c r="M1112" s="204">
        <v>2</v>
      </c>
      <c r="N1112" s="195" t="s">
        <v>84</v>
      </c>
      <c r="O1112" s="233" t="e">
        <f>VLOOKUP(J1112,BM!$B$3:$Y$62,11,FALSE)</f>
        <v>#N/A</v>
      </c>
      <c r="P1112" s="195" t="s">
        <v>112</v>
      </c>
      <c r="Q1112" s="227" t="e">
        <f t="shared" si="427"/>
        <v>#N/A</v>
      </c>
      <c r="R1112" s="226">
        <v>1</v>
      </c>
      <c r="S1112" s="227" t="e">
        <f t="shared" si="399"/>
        <v>#N/A</v>
      </c>
      <c r="T1112" s="203" t="s">
        <v>48</v>
      </c>
      <c r="U1112" s="183" t="e">
        <f t="shared" si="398"/>
        <v>#N/A</v>
      </c>
    </row>
    <row r="1113" spans="3:21" s="172" customFormat="1" ht="20.25" customHeight="1">
      <c r="C1113" s="185"/>
      <c r="D1113" s="190">
        <f t="shared" si="420"/>
        <v>1103</v>
      </c>
      <c r="E1113" s="194" t="s">
        <v>483</v>
      </c>
      <c r="F1113" s="198">
        <f t="shared" si="428"/>
        <v>1102</v>
      </c>
      <c r="G1113" s="193" t="s">
        <v>121</v>
      </c>
      <c r="H1113" s="193"/>
      <c r="I1113" s="211">
        <v>18</v>
      </c>
      <c r="J1113" s="195"/>
      <c r="K1113" s="221">
        <v>2</v>
      </c>
      <c r="L1113" s="195" t="s">
        <v>39</v>
      </c>
      <c r="M1113" s="222">
        <f>16*25.4*3.142*0.001*K1113</f>
        <v>2.5538175999999999</v>
      </c>
      <c r="N1113" s="195" t="s">
        <v>249</v>
      </c>
      <c r="O1113" s="233">
        <f>VLOOKUP(I1113,BM!$B$3:$Y$62,23,FALSE)</f>
        <v>6.8</v>
      </c>
      <c r="P1113" s="195" t="s">
        <v>112</v>
      </c>
      <c r="Q1113" s="227">
        <f t="shared" si="427"/>
        <v>17.36595968</v>
      </c>
      <c r="R1113" s="226">
        <v>1</v>
      </c>
      <c r="S1113" s="227">
        <f t="shared" si="399"/>
        <v>18.37</v>
      </c>
      <c r="T1113" s="203" t="s">
        <v>48</v>
      </c>
      <c r="U1113" s="183" t="str">
        <f t="shared" si="398"/>
        <v>18.37 Hrs</v>
      </c>
    </row>
    <row r="1114" spans="3:21" s="172" customFormat="1" ht="20.25" customHeight="1">
      <c r="C1114" s="185"/>
      <c r="D1114" s="190">
        <f t="shared" si="420"/>
        <v>1104</v>
      </c>
      <c r="E1114" s="194" t="s">
        <v>484</v>
      </c>
      <c r="F1114" s="198">
        <f t="shared" si="428"/>
        <v>1103</v>
      </c>
      <c r="G1114" s="193" t="s">
        <v>61</v>
      </c>
      <c r="H1114" s="193"/>
      <c r="I1114" s="195"/>
      <c r="J1114" s="221" t="s">
        <v>477</v>
      </c>
      <c r="K1114" s="221">
        <v>2</v>
      </c>
      <c r="L1114" s="195" t="s">
        <v>485</v>
      </c>
      <c r="M1114" s="222">
        <f>16*25.4*3.142*K1114/1000</f>
        <v>2.5538175999999999</v>
      </c>
      <c r="N1114" s="195" t="s">
        <v>39</v>
      </c>
      <c r="O1114" s="205">
        <v>0.15</v>
      </c>
      <c r="P1114" s="195" t="s">
        <v>112</v>
      </c>
      <c r="Q1114" s="227">
        <f t="shared" si="427"/>
        <v>0.38307263999999996</v>
      </c>
      <c r="R1114" s="226">
        <v>1</v>
      </c>
      <c r="S1114" s="227">
        <f t="shared" si="399"/>
        <v>1.38</v>
      </c>
      <c r="T1114" s="203" t="s">
        <v>48</v>
      </c>
      <c r="U1114" s="183" t="str">
        <f t="shared" si="398"/>
        <v>1.38 Hrs</v>
      </c>
    </row>
    <row r="1115" spans="3:21" s="172" customFormat="1" ht="20.25" customHeight="1">
      <c r="C1115" s="185">
        <f>D1115</f>
        <v>1105</v>
      </c>
      <c r="D1115" s="190">
        <f t="shared" si="420"/>
        <v>1105</v>
      </c>
      <c r="E1115" s="191" t="s">
        <v>486</v>
      </c>
      <c r="F1115" s="197">
        <f>C1105</f>
        <v>1095</v>
      </c>
      <c r="G1115" s="193"/>
      <c r="H1115" s="193"/>
      <c r="I1115" s="195"/>
      <c r="J1115" s="195"/>
      <c r="K1115" s="221"/>
      <c r="L1115" s="195"/>
      <c r="M1115" s="204"/>
      <c r="N1115" s="195"/>
      <c r="O1115" s="205"/>
      <c r="P1115" s="195"/>
      <c r="Q1115" s="227"/>
      <c r="R1115" s="226"/>
      <c r="S1115" s="227"/>
      <c r="T1115" s="203"/>
      <c r="U1115" s="183"/>
    </row>
    <row r="1116" spans="3:21" s="172" customFormat="1" ht="20.25" customHeight="1">
      <c r="C1116" s="185"/>
      <c r="D1116" s="190">
        <f t="shared" si="420"/>
        <v>1106</v>
      </c>
      <c r="E1116" s="194" t="s">
        <v>487</v>
      </c>
      <c r="F1116" s="198"/>
      <c r="G1116" s="193" t="s">
        <v>299</v>
      </c>
      <c r="H1116" s="193"/>
      <c r="I1116" s="211">
        <v>24</v>
      </c>
      <c r="J1116" s="221">
        <v>14465</v>
      </c>
      <c r="K1116" s="221">
        <v>1</v>
      </c>
      <c r="L1116" s="195" t="s">
        <v>39</v>
      </c>
      <c r="M1116" s="204">
        <f>J1116*K1116/1000</f>
        <v>14.465</v>
      </c>
      <c r="N1116" s="195" t="s">
        <v>81</v>
      </c>
      <c r="O1116" s="205">
        <v>0.5</v>
      </c>
      <c r="P1116" s="195" t="s">
        <v>112</v>
      </c>
      <c r="Q1116" s="227">
        <f t="shared" ref="Q1116:Q1117" si="429">M1116*O1116</f>
        <v>7.2324999999999999</v>
      </c>
      <c r="R1116" s="226">
        <v>1</v>
      </c>
      <c r="S1116" s="227">
        <f t="shared" si="399"/>
        <v>8.23</v>
      </c>
      <c r="T1116" s="203" t="s">
        <v>48</v>
      </c>
      <c r="U1116" s="183" t="str">
        <f t="shared" ref="U1116:U1178" si="430">CONCATENATE(S1116," ",T1116)</f>
        <v>8.23 Hrs</v>
      </c>
    </row>
    <row r="1117" spans="3:21" s="172" customFormat="1" ht="20.25" customHeight="1">
      <c r="C1117" s="185"/>
      <c r="D1117" s="190">
        <f t="shared" si="420"/>
        <v>1107</v>
      </c>
      <c r="E1117" s="194" t="s">
        <v>488</v>
      </c>
      <c r="F1117" s="198">
        <f t="shared" ref="F1117" si="431">D1116</f>
        <v>1106</v>
      </c>
      <c r="G1117" s="193" t="s">
        <v>44</v>
      </c>
      <c r="H1117" s="193"/>
      <c r="I1117" s="211">
        <v>24</v>
      </c>
      <c r="J1117" s="221" t="s">
        <v>489</v>
      </c>
      <c r="K1117" s="221">
        <v>3</v>
      </c>
      <c r="L1117" s="195" t="s">
        <v>39</v>
      </c>
      <c r="M1117" s="204">
        <v>4</v>
      </c>
      <c r="N1117" s="195" t="s">
        <v>81</v>
      </c>
      <c r="O1117" s="205">
        <v>0.5</v>
      </c>
      <c r="P1117" s="195" t="s">
        <v>112</v>
      </c>
      <c r="Q1117" s="227">
        <f t="shared" si="429"/>
        <v>2</v>
      </c>
      <c r="R1117" s="226">
        <v>1</v>
      </c>
      <c r="S1117" s="227">
        <f t="shared" ref="S1117:S1180" si="432">ROUND(Q1117+R1117,2)</f>
        <v>3</v>
      </c>
      <c r="T1117" s="203" t="s">
        <v>48</v>
      </c>
      <c r="U1117" s="183" t="str">
        <f t="shared" si="430"/>
        <v>3 Hrs</v>
      </c>
    </row>
    <row r="1118" spans="3:21" s="172" customFormat="1" ht="20.25" customHeight="1">
      <c r="C1118" s="185">
        <f>D1118</f>
        <v>1108</v>
      </c>
      <c r="D1118" s="190">
        <f t="shared" si="420"/>
        <v>1108</v>
      </c>
      <c r="E1118" s="191" t="s">
        <v>490</v>
      </c>
      <c r="F1118" s="197">
        <f>C1115</f>
        <v>1105</v>
      </c>
      <c r="G1118" s="193"/>
      <c r="H1118" s="193"/>
      <c r="I1118" s="195"/>
      <c r="J1118" s="195"/>
      <c r="K1118" s="221"/>
      <c r="L1118" s="195"/>
      <c r="M1118" s="204"/>
      <c r="N1118" s="195"/>
      <c r="O1118" s="205"/>
      <c r="P1118" s="195"/>
      <c r="Q1118" s="227"/>
      <c r="R1118" s="226"/>
      <c r="S1118" s="227"/>
      <c r="T1118" s="203"/>
      <c r="U1118" s="183"/>
    </row>
    <row r="1119" spans="3:21" s="172" customFormat="1" ht="20.25" customHeight="1">
      <c r="C1119" s="185"/>
      <c r="D1119" s="190">
        <f t="shared" si="420"/>
        <v>1109</v>
      </c>
      <c r="E1119" s="194" t="s">
        <v>491</v>
      </c>
      <c r="F1119" s="198"/>
      <c r="G1119" s="193" t="s">
        <v>115</v>
      </c>
      <c r="H1119" s="193"/>
      <c r="I1119" s="211">
        <v>24</v>
      </c>
      <c r="J1119" s="221">
        <v>1480</v>
      </c>
      <c r="K1119" s="221">
        <v>3</v>
      </c>
      <c r="L1119" s="195" t="s">
        <v>39</v>
      </c>
      <c r="M1119" s="222">
        <f>J1119*K1119/1000</f>
        <v>4.4400000000000004</v>
      </c>
      <c r="N1119" s="195"/>
      <c r="O1119" s="233">
        <f>VLOOKUP(I1119,BM!$B$3:$Y$62,23,FALSE)</f>
        <v>11.2</v>
      </c>
      <c r="P1119" s="195" t="s">
        <v>112</v>
      </c>
      <c r="Q1119" s="227">
        <f t="shared" ref="Q1119:Q1120" si="433">M1119*O1119</f>
        <v>49.728000000000002</v>
      </c>
      <c r="R1119" s="226">
        <v>1</v>
      </c>
      <c r="S1119" s="227">
        <f t="shared" si="432"/>
        <v>50.73</v>
      </c>
      <c r="T1119" s="203" t="s">
        <v>48</v>
      </c>
      <c r="U1119" s="183" t="str">
        <f t="shared" si="430"/>
        <v>50.73 Hrs</v>
      </c>
    </row>
    <row r="1120" spans="3:21" s="172" customFormat="1" ht="20.25" customHeight="1">
      <c r="C1120" s="185"/>
      <c r="D1120" s="190">
        <f t="shared" si="420"/>
        <v>1110</v>
      </c>
      <c r="E1120" s="194" t="s">
        <v>492</v>
      </c>
      <c r="F1120" s="198">
        <f t="shared" ref="F1120" si="434">D1119</f>
        <v>1109</v>
      </c>
      <c r="G1120" s="193" t="s">
        <v>121</v>
      </c>
      <c r="H1120" s="193"/>
      <c r="I1120" s="211">
        <v>12</v>
      </c>
      <c r="J1120" s="221" t="s">
        <v>493</v>
      </c>
      <c r="K1120" s="221">
        <v>1</v>
      </c>
      <c r="L1120" s="195" t="s">
        <v>39</v>
      </c>
      <c r="M1120" s="214">
        <f>LEFT(J1120,SEARCH(" ",J1120,1)-1)*K1120/1000</f>
        <v>12.31</v>
      </c>
      <c r="N1120" s="195" t="s">
        <v>39</v>
      </c>
      <c r="O1120" s="233">
        <f>VLOOKUP(I1120,BM!$B$3:$Y$62,22,FALSE)</f>
        <v>1.6</v>
      </c>
      <c r="P1120" s="195" t="s">
        <v>112</v>
      </c>
      <c r="Q1120" s="227">
        <f t="shared" si="433"/>
        <v>19.696000000000002</v>
      </c>
      <c r="R1120" s="226">
        <v>1</v>
      </c>
      <c r="S1120" s="227">
        <f t="shared" si="432"/>
        <v>20.7</v>
      </c>
      <c r="T1120" s="203" t="s">
        <v>48</v>
      </c>
      <c r="U1120" s="183" t="str">
        <f t="shared" si="430"/>
        <v>20.7 Hrs</v>
      </c>
    </row>
    <row r="1121" spans="3:21" s="172" customFormat="1" ht="20.25" customHeight="1">
      <c r="C1121" s="185">
        <f>D1121</f>
        <v>1111</v>
      </c>
      <c r="D1121" s="190">
        <f t="shared" si="420"/>
        <v>1111</v>
      </c>
      <c r="E1121" s="191" t="s">
        <v>494</v>
      </c>
      <c r="F1121" s="197">
        <f>C1118</f>
        <v>1108</v>
      </c>
      <c r="G1121" s="193"/>
      <c r="H1121" s="193"/>
      <c r="I1121" s="195"/>
      <c r="J1121" s="195"/>
      <c r="K1121" s="221"/>
      <c r="L1121" s="195"/>
      <c r="M1121" s="204"/>
      <c r="N1121" s="195"/>
      <c r="O1121" s="205"/>
      <c r="P1121" s="195"/>
      <c r="Q1121" s="227"/>
      <c r="R1121" s="226"/>
      <c r="S1121" s="227"/>
      <c r="T1121" s="203"/>
      <c r="U1121" s="183"/>
    </row>
    <row r="1122" spans="3:21" s="172" customFormat="1" ht="20.25" customHeight="1">
      <c r="C1122" s="185"/>
      <c r="D1122" s="190">
        <f t="shared" si="420"/>
        <v>1112</v>
      </c>
      <c r="E1122" s="194" t="s">
        <v>495</v>
      </c>
      <c r="F1122" s="198"/>
      <c r="G1122" s="193" t="s">
        <v>44</v>
      </c>
      <c r="H1122" s="193"/>
      <c r="I1122" s="211">
        <v>18</v>
      </c>
      <c r="J1122" s="221" t="s">
        <v>496</v>
      </c>
      <c r="K1122" s="221">
        <v>1</v>
      </c>
      <c r="L1122" s="195" t="s">
        <v>39</v>
      </c>
      <c r="M1122" s="204">
        <v>1</v>
      </c>
      <c r="N1122" s="195" t="s">
        <v>39</v>
      </c>
      <c r="O1122" s="205">
        <v>4</v>
      </c>
      <c r="P1122" s="195" t="s">
        <v>112</v>
      </c>
      <c r="Q1122" s="227">
        <f t="shared" ref="Q1122:Q1124" si="435">M1122*O1122</f>
        <v>4</v>
      </c>
      <c r="R1122" s="226">
        <v>1</v>
      </c>
      <c r="S1122" s="227">
        <f t="shared" si="432"/>
        <v>5</v>
      </c>
      <c r="T1122" s="203" t="s">
        <v>48</v>
      </c>
      <c r="U1122" s="183" t="str">
        <f t="shared" si="430"/>
        <v>5 Hrs</v>
      </c>
    </row>
    <row r="1123" spans="3:21" s="172" customFormat="1" ht="20.25" customHeight="1">
      <c r="C1123" s="185"/>
      <c r="D1123" s="190">
        <f t="shared" si="420"/>
        <v>1113</v>
      </c>
      <c r="E1123" s="194" t="s">
        <v>497</v>
      </c>
      <c r="F1123" s="198">
        <f t="shared" ref="F1123:F1124" si="436">D1122</f>
        <v>1112</v>
      </c>
      <c r="G1123" s="193" t="s">
        <v>498</v>
      </c>
      <c r="H1123" s="193"/>
      <c r="I1123" s="211">
        <v>18</v>
      </c>
      <c r="J1123" s="221" t="s">
        <v>499</v>
      </c>
      <c r="K1123" s="221">
        <v>1</v>
      </c>
      <c r="L1123" s="195" t="s">
        <v>39</v>
      </c>
      <c r="M1123" s="204">
        <v>1</v>
      </c>
      <c r="N1123" s="195" t="s">
        <v>39</v>
      </c>
      <c r="O1123" s="205">
        <v>4</v>
      </c>
      <c r="P1123" s="195" t="s">
        <v>112</v>
      </c>
      <c r="Q1123" s="227">
        <f t="shared" si="435"/>
        <v>4</v>
      </c>
      <c r="R1123" s="226">
        <v>1</v>
      </c>
      <c r="S1123" s="227">
        <f t="shared" si="432"/>
        <v>5</v>
      </c>
      <c r="T1123" s="203" t="s">
        <v>48</v>
      </c>
      <c r="U1123" s="183" t="str">
        <f t="shared" si="430"/>
        <v>5 Hrs</v>
      </c>
    </row>
    <row r="1124" spans="3:21" s="172" customFormat="1" ht="20.25" customHeight="1">
      <c r="C1124" s="185"/>
      <c r="D1124" s="190">
        <f t="shared" si="420"/>
        <v>1114</v>
      </c>
      <c r="E1124" s="194" t="s">
        <v>500</v>
      </c>
      <c r="F1124" s="198">
        <f t="shared" si="436"/>
        <v>1113</v>
      </c>
      <c r="G1124" s="193" t="s">
        <v>115</v>
      </c>
      <c r="H1124" s="193"/>
      <c r="I1124" s="211">
        <v>12</v>
      </c>
      <c r="J1124" s="221">
        <v>6</v>
      </c>
      <c r="K1124" s="221">
        <v>1</v>
      </c>
      <c r="L1124" s="195" t="s">
        <v>39</v>
      </c>
      <c r="M1124" s="222">
        <f>J1124*K1124</f>
        <v>6</v>
      </c>
      <c r="N1124" s="195" t="s">
        <v>139</v>
      </c>
      <c r="O1124" s="233">
        <f>VLOOKUP(I1124,BM!$B$3:$Y$62,22,FALSE)</f>
        <v>1.6</v>
      </c>
      <c r="P1124" s="195" t="s">
        <v>112</v>
      </c>
      <c r="Q1124" s="227">
        <f t="shared" si="435"/>
        <v>9.6000000000000014</v>
      </c>
      <c r="R1124" s="226">
        <v>1</v>
      </c>
      <c r="S1124" s="227">
        <f t="shared" si="432"/>
        <v>10.6</v>
      </c>
      <c r="T1124" s="203" t="s">
        <v>48</v>
      </c>
      <c r="U1124" s="183" t="str">
        <f t="shared" si="430"/>
        <v>10.6 Hrs</v>
      </c>
    </row>
    <row r="1125" spans="3:21" s="172" customFormat="1" ht="20.25" customHeight="1">
      <c r="C1125" s="185">
        <f>D1125</f>
        <v>1115</v>
      </c>
      <c r="D1125" s="190">
        <f t="shared" si="420"/>
        <v>1115</v>
      </c>
      <c r="E1125" s="191" t="s">
        <v>501</v>
      </c>
      <c r="F1125" s="197">
        <f>C1121</f>
        <v>1111</v>
      </c>
      <c r="G1125" s="193"/>
      <c r="H1125" s="193"/>
      <c r="I1125" s="195"/>
      <c r="J1125" s="195"/>
      <c r="K1125" s="221"/>
      <c r="L1125" s="195"/>
      <c r="M1125" s="204"/>
      <c r="N1125" s="195"/>
      <c r="O1125" s="205"/>
      <c r="P1125" s="195"/>
      <c r="Q1125" s="227"/>
      <c r="R1125" s="226"/>
      <c r="S1125" s="227"/>
      <c r="T1125" s="203"/>
      <c r="U1125" s="183"/>
    </row>
    <row r="1126" spans="3:21" s="172" customFormat="1" ht="20.25" customHeight="1">
      <c r="C1126" s="185"/>
      <c r="D1126" s="190">
        <f t="shared" si="420"/>
        <v>1116</v>
      </c>
      <c r="E1126" s="194" t="s">
        <v>502</v>
      </c>
      <c r="F1126" s="198"/>
      <c r="G1126" s="193" t="s">
        <v>149</v>
      </c>
      <c r="H1126" s="193"/>
      <c r="I1126" s="211">
        <v>18</v>
      </c>
      <c r="J1126" s="221" t="s">
        <v>503</v>
      </c>
      <c r="K1126" s="221">
        <v>1</v>
      </c>
      <c r="L1126" s="195" t="s">
        <v>39</v>
      </c>
      <c r="M1126" s="204">
        <v>1</v>
      </c>
      <c r="N1126" s="195" t="s">
        <v>39</v>
      </c>
      <c r="O1126" s="205">
        <v>8</v>
      </c>
      <c r="P1126" s="195" t="s">
        <v>112</v>
      </c>
      <c r="Q1126" s="227">
        <f t="shared" ref="Q1126:Q1127" si="437">M1126*O1126</f>
        <v>8</v>
      </c>
      <c r="R1126" s="226">
        <v>1</v>
      </c>
      <c r="S1126" s="227">
        <f t="shared" si="432"/>
        <v>9</v>
      </c>
      <c r="T1126" s="203" t="s">
        <v>48</v>
      </c>
      <c r="U1126" s="183" t="str">
        <f t="shared" si="430"/>
        <v>9 Hrs</v>
      </c>
    </row>
    <row r="1127" spans="3:21" s="172" customFormat="1" ht="20.25" customHeight="1">
      <c r="C1127" s="185"/>
      <c r="D1127" s="190">
        <f t="shared" si="420"/>
        <v>1117</v>
      </c>
      <c r="E1127" s="194" t="s">
        <v>504</v>
      </c>
      <c r="F1127" s="198">
        <f t="shared" ref="F1127" si="438">D1126</f>
        <v>1116</v>
      </c>
      <c r="G1127" s="193" t="s">
        <v>63</v>
      </c>
      <c r="H1127" s="193"/>
      <c r="I1127" s="211">
        <v>18</v>
      </c>
      <c r="J1127" s="221" t="s">
        <v>503</v>
      </c>
      <c r="K1127" s="221">
        <v>1</v>
      </c>
      <c r="L1127" s="195" t="s">
        <v>39</v>
      </c>
      <c r="M1127" s="204">
        <v>1</v>
      </c>
      <c r="N1127" s="195" t="s">
        <v>39</v>
      </c>
      <c r="O1127" s="205">
        <v>1</v>
      </c>
      <c r="P1127" s="195" t="s">
        <v>41</v>
      </c>
      <c r="Q1127" s="227">
        <f t="shared" si="437"/>
        <v>1</v>
      </c>
      <c r="R1127" s="226"/>
      <c r="S1127" s="227">
        <f t="shared" si="432"/>
        <v>1</v>
      </c>
      <c r="T1127" s="203" t="s">
        <v>48</v>
      </c>
      <c r="U1127" s="183" t="str">
        <f t="shared" si="430"/>
        <v>1 Hrs</v>
      </c>
    </row>
    <row r="1128" spans="3:21" s="172" customFormat="1" ht="20.25" customHeight="1">
      <c r="C1128" s="185">
        <f t="shared" ref="C1128:C1129" si="439">D1128</f>
        <v>1118</v>
      </c>
      <c r="D1128" s="190">
        <f t="shared" si="420"/>
        <v>1118</v>
      </c>
      <c r="E1128" s="234" t="s">
        <v>505</v>
      </c>
      <c r="F1128" s="197">
        <f>C1125</f>
        <v>1115</v>
      </c>
      <c r="G1128" s="193"/>
      <c r="H1128" s="193"/>
      <c r="I1128" s="195"/>
      <c r="J1128" s="195"/>
      <c r="K1128" s="221"/>
      <c r="L1128" s="195"/>
      <c r="M1128" s="204"/>
      <c r="N1128" s="195"/>
      <c r="O1128" s="205"/>
      <c r="P1128" s="195"/>
      <c r="Q1128" s="227"/>
      <c r="R1128" s="226"/>
      <c r="S1128" s="227"/>
      <c r="T1128" s="203"/>
      <c r="U1128" s="183"/>
    </row>
    <row r="1129" spans="3:21" s="172" customFormat="1" ht="20.25" customHeight="1">
      <c r="C1129" s="185">
        <f t="shared" si="439"/>
        <v>1119</v>
      </c>
      <c r="D1129" s="190">
        <f t="shared" si="420"/>
        <v>1119</v>
      </c>
      <c r="E1129" s="191" t="s">
        <v>506</v>
      </c>
      <c r="F1129" s="197">
        <v>7</v>
      </c>
      <c r="G1129" s="193"/>
      <c r="H1129" s="193"/>
      <c r="I1129" s="195"/>
      <c r="J1129" s="195"/>
      <c r="K1129" s="221">
        <v>1</v>
      </c>
      <c r="L1129" s="195" t="s">
        <v>39</v>
      </c>
      <c r="M1129" s="204">
        <v>1</v>
      </c>
      <c r="N1129" s="195" t="s">
        <v>39</v>
      </c>
      <c r="O1129" s="205">
        <v>4</v>
      </c>
      <c r="P1129" s="195" t="s">
        <v>41</v>
      </c>
      <c r="Q1129" s="227">
        <f t="shared" ref="Q1129:Q1135" si="440">M1129*O1129</f>
        <v>4</v>
      </c>
      <c r="R1129" s="226"/>
      <c r="S1129" s="227">
        <f t="shared" si="432"/>
        <v>4</v>
      </c>
      <c r="T1129" s="203" t="s">
        <v>48</v>
      </c>
      <c r="U1129" s="183" t="str">
        <f t="shared" si="430"/>
        <v>4 Hrs</v>
      </c>
    </row>
    <row r="1130" spans="3:21" s="172" customFormat="1" ht="20.25" customHeight="1">
      <c r="C1130" s="185"/>
      <c r="D1130" s="190">
        <f t="shared" si="420"/>
        <v>1120</v>
      </c>
      <c r="E1130" s="194" t="s">
        <v>507</v>
      </c>
      <c r="F1130" s="198"/>
      <c r="G1130" s="193" t="s">
        <v>37</v>
      </c>
      <c r="H1130" s="193"/>
      <c r="I1130" s="211">
        <v>18</v>
      </c>
      <c r="J1130" s="221" t="s">
        <v>508</v>
      </c>
      <c r="K1130" s="221">
        <v>1</v>
      </c>
      <c r="L1130" s="195" t="s">
        <v>81</v>
      </c>
      <c r="M1130" s="214">
        <f>LEFT(J1130,SEARCH(" ",J1130,1)-1)*K1130/1000</f>
        <v>0.373</v>
      </c>
      <c r="N1130" s="195" t="s">
        <v>139</v>
      </c>
      <c r="O1130" s="233">
        <f>VLOOKUP(I1130,BM!$B$3:$Y$62,2,FALSE)</f>
        <v>0.1</v>
      </c>
      <c r="P1130" s="195" t="s">
        <v>47</v>
      </c>
      <c r="Q1130" s="227">
        <f t="shared" si="440"/>
        <v>3.73E-2</v>
      </c>
      <c r="R1130" s="226">
        <v>1</v>
      </c>
      <c r="S1130" s="227">
        <f t="shared" si="432"/>
        <v>1.04</v>
      </c>
      <c r="T1130" s="203" t="s">
        <v>48</v>
      </c>
      <c r="U1130" s="183" t="str">
        <f t="shared" si="430"/>
        <v>1.04 Hrs</v>
      </c>
    </row>
    <row r="1131" spans="3:21" s="172" customFormat="1" ht="20.25" customHeight="1">
      <c r="C1131" s="185"/>
      <c r="D1131" s="190">
        <f t="shared" si="420"/>
        <v>1121</v>
      </c>
      <c r="E1131" s="194" t="s">
        <v>509</v>
      </c>
      <c r="F1131" s="198">
        <f t="shared" ref="F1131:F1135" si="441">D1130</f>
        <v>1120</v>
      </c>
      <c r="G1131" s="193" t="s">
        <v>201</v>
      </c>
      <c r="H1131" s="193"/>
      <c r="I1131" s="211">
        <v>18</v>
      </c>
      <c r="J1131" s="221" t="s">
        <v>510</v>
      </c>
      <c r="K1131" s="221">
        <v>1</v>
      </c>
      <c r="L1131" s="195" t="s">
        <v>81</v>
      </c>
      <c r="M1131" s="214">
        <f t="shared" ref="M1131:M1135" si="442">LEFT(J1131,SEARCH(" ",J1131,1)-1)*K1131/1000</f>
        <v>11.3</v>
      </c>
      <c r="N1131" s="195" t="s">
        <v>139</v>
      </c>
      <c r="O1131" s="233">
        <f>VLOOKUP(I1131,BM!$B$3:$Y$62,3,FALSE)</f>
        <v>0.25</v>
      </c>
      <c r="P1131" s="195" t="s">
        <v>47</v>
      </c>
      <c r="Q1131" s="227">
        <f t="shared" si="440"/>
        <v>2.8250000000000002</v>
      </c>
      <c r="R1131" s="226">
        <v>1</v>
      </c>
      <c r="S1131" s="227">
        <f t="shared" si="432"/>
        <v>3.83</v>
      </c>
      <c r="T1131" s="203" t="s">
        <v>48</v>
      </c>
      <c r="U1131" s="183" t="str">
        <f t="shared" si="430"/>
        <v>3.83 Hrs</v>
      </c>
    </row>
    <row r="1132" spans="3:21" s="172" customFormat="1" ht="20.25" customHeight="1">
      <c r="C1132" s="185"/>
      <c r="D1132" s="190">
        <f t="shared" si="420"/>
        <v>1122</v>
      </c>
      <c r="E1132" s="194" t="s">
        <v>511</v>
      </c>
      <c r="F1132" s="198">
        <f t="shared" si="441"/>
        <v>1121</v>
      </c>
      <c r="G1132" s="193" t="s">
        <v>52</v>
      </c>
      <c r="H1132" s="193"/>
      <c r="I1132" s="211">
        <v>18</v>
      </c>
      <c r="J1132" s="195" t="str">
        <f t="shared" ref="J1132:J1135" si="443">J1131</f>
        <v>11300 mm</v>
      </c>
      <c r="K1132" s="221">
        <v>1</v>
      </c>
      <c r="L1132" s="195" t="s">
        <v>81</v>
      </c>
      <c r="M1132" s="214">
        <f t="shared" si="442"/>
        <v>11.3</v>
      </c>
      <c r="N1132" s="195" t="s">
        <v>139</v>
      </c>
      <c r="O1132" s="233">
        <f>VLOOKUP(I1132,BM!$B$3:$Y$62,4,FALSE)</f>
        <v>0.15</v>
      </c>
      <c r="P1132" s="195" t="s">
        <v>47</v>
      </c>
      <c r="Q1132" s="227">
        <f t="shared" si="440"/>
        <v>1.6950000000000001</v>
      </c>
      <c r="R1132" s="226">
        <v>1</v>
      </c>
      <c r="S1132" s="227">
        <f t="shared" si="432"/>
        <v>2.7</v>
      </c>
      <c r="T1132" s="203" t="s">
        <v>48</v>
      </c>
      <c r="U1132" s="183" t="str">
        <f t="shared" si="430"/>
        <v>2.7 Hrs</v>
      </c>
    </row>
    <row r="1133" spans="3:21" s="172" customFormat="1" ht="20.25" customHeight="1">
      <c r="C1133" s="185"/>
      <c r="D1133" s="190">
        <f t="shared" si="420"/>
        <v>1123</v>
      </c>
      <c r="E1133" s="194" t="s">
        <v>512</v>
      </c>
      <c r="F1133" s="198">
        <f t="shared" si="441"/>
        <v>1122</v>
      </c>
      <c r="G1133" s="193" t="s">
        <v>61</v>
      </c>
      <c r="H1133" s="193"/>
      <c r="I1133" s="211">
        <v>18</v>
      </c>
      <c r="J1133" s="195" t="str">
        <f t="shared" si="443"/>
        <v>11300 mm</v>
      </c>
      <c r="K1133" s="221">
        <v>1</v>
      </c>
      <c r="L1133" s="195" t="s">
        <v>81</v>
      </c>
      <c r="M1133" s="214">
        <f t="shared" si="442"/>
        <v>11.3</v>
      </c>
      <c r="N1133" s="195" t="s">
        <v>139</v>
      </c>
      <c r="O1133" s="233">
        <f>VLOOKUP(I1133,BM!$B$3:$Y$62,5,FALSE)</f>
        <v>0.5</v>
      </c>
      <c r="P1133" s="195" t="s">
        <v>47</v>
      </c>
      <c r="Q1133" s="227">
        <f t="shared" si="440"/>
        <v>5.65</v>
      </c>
      <c r="R1133" s="226">
        <v>1</v>
      </c>
      <c r="S1133" s="227">
        <f t="shared" si="432"/>
        <v>6.65</v>
      </c>
      <c r="T1133" s="203" t="s">
        <v>48</v>
      </c>
      <c r="U1133" s="183" t="str">
        <f t="shared" si="430"/>
        <v>6.65 Hrs</v>
      </c>
    </row>
    <row r="1134" spans="3:21" s="172" customFormat="1" ht="20.25" customHeight="1">
      <c r="C1134" s="185"/>
      <c r="D1134" s="190">
        <f t="shared" si="420"/>
        <v>1124</v>
      </c>
      <c r="E1134" s="194" t="s">
        <v>513</v>
      </c>
      <c r="F1134" s="198">
        <f t="shared" si="441"/>
        <v>1123</v>
      </c>
      <c r="G1134" s="193" t="s">
        <v>224</v>
      </c>
      <c r="H1134" s="193"/>
      <c r="I1134" s="211">
        <v>18</v>
      </c>
      <c r="J1134" s="195" t="str">
        <f t="shared" si="443"/>
        <v>11300 mm</v>
      </c>
      <c r="K1134" s="221">
        <v>1</v>
      </c>
      <c r="L1134" s="195" t="s">
        <v>81</v>
      </c>
      <c r="M1134" s="214">
        <f t="shared" si="442"/>
        <v>11.3</v>
      </c>
      <c r="N1134" s="195" t="s">
        <v>139</v>
      </c>
      <c r="O1134" s="233">
        <f>VLOOKUP(I1134,BM!$B$3:$Y$62,6,FALSE)</f>
        <v>1</v>
      </c>
      <c r="P1134" s="195" t="s">
        <v>47</v>
      </c>
      <c r="Q1134" s="227">
        <f t="shared" si="440"/>
        <v>11.3</v>
      </c>
      <c r="R1134" s="226">
        <v>1</v>
      </c>
      <c r="S1134" s="227">
        <f t="shared" si="432"/>
        <v>12.3</v>
      </c>
      <c r="T1134" s="203" t="s">
        <v>48</v>
      </c>
      <c r="U1134" s="183" t="str">
        <f t="shared" si="430"/>
        <v>12.3 Hrs</v>
      </c>
    </row>
    <row r="1135" spans="3:21" s="172" customFormat="1" ht="20.25" customHeight="1">
      <c r="C1135" s="185"/>
      <c r="D1135" s="190">
        <f t="shared" si="420"/>
        <v>1125</v>
      </c>
      <c r="E1135" s="194" t="s">
        <v>416</v>
      </c>
      <c r="F1135" s="198">
        <f t="shared" si="441"/>
        <v>1124</v>
      </c>
      <c r="G1135" s="193" t="s">
        <v>61</v>
      </c>
      <c r="H1135" s="193"/>
      <c r="I1135" s="211">
        <v>18</v>
      </c>
      <c r="J1135" s="195" t="str">
        <f t="shared" si="443"/>
        <v>11300 mm</v>
      </c>
      <c r="K1135" s="221">
        <v>1</v>
      </c>
      <c r="L1135" s="195" t="s">
        <v>81</v>
      </c>
      <c r="M1135" s="214">
        <f t="shared" si="442"/>
        <v>11.3</v>
      </c>
      <c r="N1135" s="195" t="s">
        <v>139</v>
      </c>
      <c r="O1135" s="233">
        <f>VLOOKUP(I1135,BM!$B$3:$Y$62,6,FALSE)</f>
        <v>1</v>
      </c>
      <c r="P1135" s="195" t="s">
        <v>47</v>
      </c>
      <c r="Q1135" s="227">
        <f t="shared" si="440"/>
        <v>11.3</v>
      </c>
      <c r="R1135" s="226">
        <v>1</v>
      </c>
      <c r="S1135" s="227">
        <f t="shared" si="432"/>
        <v>12.3</v>
      </c>
      <c r="T1135" s="203" t="s">
        <v>48</v>
      </c>
      <c r="U1135" s="183" t="str">
        <f t="shared" si="430"/>
        <v>12.3 Hrs</v>
      </c>
    </row>
    <row r="1136" spans="3:21" s="172" customFormat="1" ht="20.25" customHeight="1">
      <c r="C1136" s="185">
        <f>D1136</f>
        <v>1126</v>
      </c>
      <c r="D1136" s="190">
        <f t="shared" si="420"/>
        <v>1126</v>
      </c>
      <c r="E1136" s="191" t="s">
        <v>514</v>
      </c>
      <c r="F1136" s="197">
        <f>C1129</f>
        <v>1119</v>
      </c>
      <c r="G1136" s="193"/>
      <c r="H1136" s="193"/>
      <c r="I1136" s="195"/>
      <c r="J1136" s="195"/>
      <c r="K1136" s="221"/>
      <c r="L1136" s="195"/>
      <c r="M1136" s="204"/>
      <c r="N1136" s="195"/>
      <c r="O1136" s="205"/>
      <c r="P1136" s="195"/>
      <c r="Q1136" s="227"/>
      <c r="R1136" s="226"/>
      <c r="S1136" s="227"/>
      <c r="T1136" s="203"/>
      <c r="U1136" s="183"/>
    </row>
    <row r="1137" spans="3:21" s="172" customFormat="1" ht="20.25" customHeight="1">
      <c r="C1137" s="185"/>
      <c r="D1137" s="190">
        <f t="shared" si="420"/>
        <v>1127</v>
      </c>
      <c r="E1137" s="194" t="s">
        <v>515</v>
      </c>
      <c r="F1137" s="198"/>
      <c r="G1137" s="193" t="s">
        <v>286</v>
      </c>
      <c r="H1137" s="193"/>
      <c r="I1137" s="220">
        <f>I1135</f>
        <v>18</v>
      </c>
      <c r="J1137" s="212" t="s">
        <v>516</v>
      </c>
      <c r="K1137" s="221">
        <v>1</v>
      </c>
      <c r="L1137" s="195" t="s">
        <v>81</v>
      </c>
      <c r="M1137" s="204">
        <v>1</v>
      </c>
      <c r="N1137" s="195" t="s">
        <v>139</v>
      </c>
      <c r="O1137" s="205">
        <v>3</v>
      </c>
      <c r="P1137" s="195" t="s">
        <v>112</v>
      </c>
      <c r="Q1137" s="227">
        <f t="shared" ref="Q1137:Q1140" si="444">M1137*O1137</f>
        <v>3</v>
      </c>
      <c r="R1137" s="226">
        <v>1</v>
      </c>
      <c r="S1137" s="227">
        <f t="shared" si="432"/>
        <v>4</v>
      </c>
      <c r="T1137" s="203" t="s">
        <v>48</v>
      </c>
      <c r="U1137" s="183" t="str">
        <f t="shared" si="430"/>
        <v>4 Hrs</v>
      </c>
    </row>
    <row r="1138" spans="3:21" s="172" customFormat="1" ht="20.25" customHeight="1">
      <c r="C1138" s="185"/>
      <c r="D1138" s="190">
        <f t="shared" si="420"/>
        <v>1128</v>
      </c>
      <c r="E1138" s="194" t="s">
        <v>517</v>
      </c>
      <c r="F1138" s="198">
        <f t="shared" ref="F1138:F1140" si="445">D1137</f>
        <v>1127</v>
      </c>
      <c r="G1138" s="193" t="s">
        <v>420</v>
      </c>
      <c r="H1138" s="193"/>
      <c r="I1138" s="220">
        <f t="shared" ref="I1138:J1138" si="446">I1137</f>
        <v>18</v>
      </c>
      <c r="J1138" s="198" t="str">
        <f t="shared" si="446"/>
        <v>1664 mm id</v>
      </c>
      <c r="K1138" s="221">
        <v>1</v>
      </c>
      <c r="L1138" s="195" t="s">
        <v>81</v>
      </c>
      <c r="M1138" s="214">
        <f>LEFT(J1138,SEARCH(" ",J1138,1)-1)*K1138*2/1000</f>
        <v>3.3279999999999998</v>
      </c>
      <c r="N1138" s="195" t="s">
        <v>39</v>
      </c>
      <c r="O1138" s="233">
        <f>VLOOKUP(I1138,BM!$B$3:$Y$62,8,FALSE)</f>
        <v>0.3</v>
      </c>
      <c r="P1138" s="195" t="s">
        <v>112</v>
      </c>
      <c r="Q1138" s="227">
        <f t="shared" si="444"/>
        <v>0.99839999999999995</v>
      </c>
      <c r="R1138" s="226">
        <v>1</v>
      </c>
      <c r="S1138" s="227">
        <f t="shared" si="432"/>
        <v>2</v>
      </c>
      <c r="T1138" s="203" t="s">
        <v>48</v>
      </c>
      <c r="U1138" s="183" t="str">
        <f t="shared" si="430"/>
        <v>2 Hrs</v>
      </c>
    </row>
    <row r="1139" spans="3:21" s="172" customFormat="1" ht="20.25" customHeight="1">
      <c r="C1139" s="185"/>
      <c r="D1139" s="190">
        <f t="shared" si="420"/>
        <v>1129</v>
      </c>
      <c r="E1139" s="194" t="s">
        <v>518</v>
      </c>
      <c r="F1139" s="198">
        <f t="shared" si="445"/>
        <v>1128</v>
      </c>
      <c r="G1139" s="193" t="s">
        <v>348</v>
      </c>
      <c r="H1139" s="193"/>
      <c r="I1139" s="220">
        <f t="shared" ref="I1139:J1139" si="447">I1138</f>
        <v>18</v>
      </c>
      <c r="J1139" s="198" t="str">
        <f t="shared" si="447"/>
        <v>1664 mm id</v>
      </c>
      <c r="K1139" s="221">
        <v>1</v>
      </c>
      <c r="L1139" s="195" t="s">
        <v>81</v>
      </c>
      <c r="M1139" s="214">
        <f>LEFT(J1139,SEARCH(" ",J1139,1)-1)*K1139*2/1000</f>
        <v>3.3279999999999998</v>
      </c>
      <c r="N1139" s="195" t="s">
        <v>139</v>
      </c>
      <c r="O1139" s="233">
        <f>VLOOKUP(I1139,BM!$B$3:$Y$62,9,FALSE)</f>
        <v>1</v>
      </c>
      <c r="P1139" s="195" t="s">
        <v>112</v>
      </c>
      <c r="Q1139" s="227">
        <f t="shared" si="444"/>
        <v>3.3279999999999998</v>
      </c>
      <c r="R1139" s="226">
        <v>1</v>
      </c>
      <c r="S1139" s="227">
        <f t="shared" si="432"/>
        <v>4.33</v>
      </c>
      <c r="T1139" s="203" t="s">
        <v>48</v>
      </c>
      <c r="U1139" s="183" t="str">
        <f t="shared" si="430"/>
        <v>4.33 Hrs</v>
      </c>
    </row>
    <row r="1140" spans="3:21" s="172" customFormat="1" ht="20.25" customHeight="1">
      <c r="C1140" s="185"/>
      <c r="D1140" s="190">
        <f t="shared" si="420"/>
        <v>1130</v>
      </c>
      <c r="E1140" s="194" t="s">
        <v>519</v>
      </c>
      <c r="F1140" s="198">
        <f t="shared" si="445"/>
        <v>1129</v>
      </c>
      <c r="G1140" s="193" t="s">
        <v>286</v>
      </c>
      <c r="H1140" s="193"/>
      <c r="I1140" s="220">
        <f t="shared" ref="I1140:J1140" si="448">I1139</f>
        <v>18</v>
      </c>
      <c r="J1140" s="198" t="str">
        <f t="shared" si="448"/>
        <v>1664 mm id</v>
      </c>
      <c r="K1140" s="221">
        <v>1</v>
      </c>
      <c r="L1140" s="195" t="s">
        <v>81</v>
      </c>
      <c r="M1140" s="214">
        <v>1</v>
      </c>
      <c r="N1140" s="195" t="s">
        <v>39</v>
      </c>
      <c r="O1140" s="205">
        <v>3</v>
      </c>
      <c r="P1140" s="195" t="s">
        <v>112</v>
      </c>
      <c r="Q1140" s="227">
        <f t="shared" si="444"/>
        <v>3</v>
      </c>
      <c r="R1140" s="226">
        <v>1</v>
      </c>
      <c r="S1140" s="227">
        <f t="shared" si="432"/>
        <v>4</v>
      </c>
      <c r="T1140" s="203" t="s">
        <v>48</v>
      </c>
      <c r="U1140" s="183" t="str">
        <f t="shared" si="430"/>
        <v>4 Hrs</v>
      </c>
    </row>
    <row r="1141" spans="3:21" s="172" customFormat="1" ht="20.25" customHeight="1">
      <c r="C1141" s="185">
        <f>D1141</f>
        <v>1131</v>
      </c>
      <c r="D1141" s="190">
        <f t="shared" si="420"/>
        <v>1131</v>
      </c>
      <c r="E1141" s="191" t="s">
        <v>520</v>
      </c>
      <c r="F1141" s="197">
        <f>C1136</f>
        <v>1126</v>
      </c>
      <c r="G1141" s="193"/>
      <c r="H1141" s="193"/>
      <c r="I1141" s="195"/>
      <c r="J1141" s="195"/>
      <c r="K1141" s="221"/>
      <c r="L1141" s="195"/>
      <c r="M1141" s="204"/>
      <c r="N1141" s="195"/>
      <c r="O1141" s="205"/>
      <c r="P1141" s="195"/>
      <c r="Q1141" s="227"/>
      <c r="R1141" s="226"/>
      <c r="S1141" s="227"/>
      <c r="T1141" s="203"/>
      <c r="U1141" s="183"/>
    </row>
    <row r="1142" spans="3:21" s="172" customFormat="1" ht="20.25" customHeight="1">
      <c r="C1142" s="185"/>
      <c r="D1142" s="190">
        <f t="shared" si="420"/>
        <v>1132</v>
      </c>
      <c r="E1142" s="194" t="s">
        <v>521</v>
      </c>
      <c r="F1142" s="198"/>
      <c r="G1142" s="193" t="s">
        <v>348</v>
      </c>
      <c r="H1142" s="193"/>
      <c r="I1142" s="220">
        <f>I1140</f>
        <v>18</v>
      </c>
      <c r="J1142" s="198" t="str">
        <f>J1140</f>
        <v>1664 mm id</v>
      </c>
      <c r="K1142" s="221">
        <v>1</v>
      </c>
      <c r="L1142" s="195" t="s">
        <v>81</v>
      </c>
      <c r="M1142" s="214">
        <f t="shared" ref="M1142" si="449">LEFT(J1142,SEARCH(" ",J1142,1)-1)*K1142*2/1000</f>
        <v>3.3279999999999998</v>
      </c>
      <c r="N1142" s="195" t="s">
        <v>139</v>
      </c>
      <c r="O1142" s="233">
        <f>VLOOKUP(I1142,BM!$B$3:$Y$62,9,FALSE)</f>
        <v>1</v>
      </c>
      <c r="P1142" s="195" t="s">
        <v>112</v>
      </c>
      <c r="Q1142" s="227">
        <f t="shared" ref="Q1142:Q1143" si="450">M1142*O1142</f>
        <v>3.3279999999999998</v>
      </c>
      <c r="R1142" s="226">
        <v>1</v>
      </c>
      <c r="S1142" s="227">
        <f t="shared" si="432"/>
        <v>4.33</v>
      </c>
      <c r="T1142" s="203" t="s">
        <v>48</v>
      </c>
      <c r="U1142" s="183" t="str">
        <f t="shared" si="430"/>
        <v>4.33 Hrs</v>
      </c>
    </row>
    <row r="1143" spans="3:21" s="172" customFormat="1" ht="20.25" customHeight="1">
      <c r="C1143" s="185"/>
      <c r="D1143" s="190">
        <f t="shared" si="420"/>
        <v>1133</v>
      </c>
      <c r="E1143" s="194" t="s">
        <v>522</v>
      </c>
      <c r="F1143" s="198">
        <f t="shared" ref="F1143" si="451">D1142</f>
        <v>1132</v>
      </c>
      <c r="G1143" s="193" t="s">
        <v>111</v>
      </c>
      <c r="H1143" s="193"/>
      <c r="I1143" s="220">
        <f>I1142</f>
        <v>18</v>
      </c>
      <c r="J1143" s="198" t="str">
        <f>J1140</f>
        <v>1664 mm id</v>
      </c>
      <c r="K1143" s="221">
        <v>1</v>
      </c>
      <c r="L1143" s="195" t="s">
        <v>81</v>
      </c>
      <c r="M1143" s="214">
        <f>LEFT(J1143,SEARCH(" ",J1143,1)-1)*K1143/1000</f>
        <v>1.6639999999999999</v>
      </c>
      <c r="N1143" s="195" t="s">
        <v>139</v>
      </c>
      <c r="O1143" s="233">
        <f>VLOOKUP(I1143,BM!$B$3:$Y$62,10,FALSE)</f>
        <v>1</v>
      </c>
      <c r="P1143" s="195" t="s">
        <v>112</v>
      </c>
      <c r="Q1143" s="227">
        <f t="shared" si="450"/>
        <v>1.6639999999999999</v>
      </c>
      <c r="R1143" s="226">
        <v>1</v>
      </c>
      <c r="S1143" s="227">
        <f t="shared" si="432"/>
        <v>2.66</v>
      </c>
      <c r="T1143" s="203" t="s">
        <v>48</v>
      </c>
      <c r="U1143" s="183" t="str">
        <f t="shared" si="430"/>
        <v>2.66 Hrs</v>
      </c>
    </row>
    <row r="1144" spans="3:21" s="172" customFormat="1" ht="20.25" customHeight="1">
      <c r="C1144" s="185">
        <f>D1144</f>
        <v>1134</v>
      </c>
      <c r="D1144" s="190">
        <f t="shared" si="420"/>
        <v>1134</v>
      </c>
      <c r="E1144" s="191" t="s">
        <v>523</v>
      </c>
      <c r="F1144" s="197">
        <f>C1141</f>
        <v>1131</v>
      </c>
      <c r="G1144" s="193"/>
      <c r="H1144" s="193"/>
      <c r="I1144" s="195"/>
      <c r="J1144" s="195"/>
      <c r="K1144" s="221"/>
      <c r="L1144" s="195"/>
      <c r="M1144" s="204"/>
      <c r="N1144" s="195"/>
      <c r="O1144" s="205"/>
      <c r="P1144" s="195"/>
      <c r="Q1144" s="227"/>
      <c r="R1144" s="226"/>
      <c r="S1144" s="227"/>
      <c r="T1144" s="203"/>
      <c r="U1144" s="183"/>
    </row>
    <row r="1145" spans="3:21" s="172" customFormat="1" ht="20.25" customHeight="1">
      <c r="C1145" s="185"/>
      <c r="D1145" s="190">
        <f t="shared" si="420"/>
        <v>1135</v>
      </c>
      <c r="E1145" s="194" t="s">
        <v>524</v>
      </c>
      <c r="F1145" s="198"/>
      <c r="G1145" s="193" t="s">
        <v>201</v>
      </c>
      <c r="H1145" s="193"/>
      <c r="I1145" s="220">
        <f>I1143</f>
        <v>18</v>
      </c>
      <c r="J1145" s="198" t="str">
        <f t="shared" ref="J1145" si="452">J1143</f>
        <v>1664 mm id</v>
      </c>
      <c r="K1145" s="221">
        <v>1</v>
      </c>
      <c r="L1145" s="195" t="s">
        <v>81</v>
      </c>
      <c r="M1145" s="204">
        <v>1</v>
      </c>
      <c r="N1145" s="195" t="s">
        <v>39</v>
      </c>
      <c r="O1145" s="205">
        <v>1</v>
      </c>
      <c r="P1145" s="195" t="s">
        <v>112</v>
      </c>
      <c r="Q1145" s="227">
        <f t="shared" ref="Q1145:Q1150" si="453">M1145*O1145</f>
        <v>1</v>
      </c>
      <c r="R1145" s="226">
        <v>1</v>
      </c>
      <c r="S1145" s="227">
        <f t="shared" si="432"/>
        <v>2</v>
      </c>
      <c r="T1145" s="203" t="s">
        <v>48</v>
      </c>
      <c r="U1145" s="183" t="str">
        <f t="shared" si="430"/>
        <v>2 Hrs</v>
      </c>
    </row>
    <row r="1146" spans="3:21" s="172" customFormat="1" ht="20.25" customHeight="1">
      <c r="C1146" s="185"/>
      <c r="D1146" s="190">
        <f t="shared" si="420"/>
        <v>1136</v>
      </c>
      <c r="E1146" s="194" t="s">
        <v>525</v>
      </c>
      <c r="F1146" s="198">
        <f t="shared" ref="F1146:F1150" si="454">D1145</f>
        <v>1135</v>
      </c>
      <c r="G1146" s="193" t="s">
        <v>115</v>
      </c>
      <c r="H1146" s="193"/>
      <c r="I1146" s="211">
        <v>12</v>
      </c>
      <c r="J1146" s="198" t="str">
        <f t="shared" ref="J1146:J1150" si="455">J1145</f>
        <v>1664 mm id</v>
      </c>
      <c r="K1146" s="221">
        <v>1</v>
      </c>
      <c r="L1146" s="195" t="s">
        <v>81</v>
      </c>
      <c r="M1146" s="214">
        <f t="shared" ref="M1146:M1149" si="456">LEFT(J1146,SEARCH(" ",J1146,1)-1)*K1146/1000</f>
        <v>1.6639999999999999</v>
      </c>
      <c r="N1146" s="195" t="s">
        <v>139</v>
      </c>
      <c r="O1146" s="233">
        <f>VLOOKUP(I1146,BM!$B$3:$Y$62,12,FALSE)</f>
        <v>2.5</v>
      </c>
      <c r="P1146" s="195" t="s">
        <v>112</v>
      </c>
      <c r="Q1146" s="227">
        <f t="shared" si="453"/>
        <v>4.16</v>
      </c>
      <c r="R1146" s="226">
        <v>1</v>
      </c>
      <c r="S1146" s="227">
        <f t="shared" si="432"/>
        <v>5.16</v>
      </c>
      <c r="T1146" s="203" t="s">
        <v>48</v>
      </c>
      <c r="U1146" s="183" t="str">
        <f t="shared" si="430"/>
        <v>5.16 Hrs</v>
      </c>
    </row>
    <row r="1147" spans="3:21" s="172" customFormat="1" ht="20.25" customHeight="1">
      <c r="C1147" s="185"/>
      <c r="D1147" s="190">
        <f t="shared" si="420"/>
        <v>1137</v>
      </c>
      <c r="E1147" s="194" t="s">
        <v>526</v>
      </c>
      <c r="F1147" s="198">
        <f t="shared" si="454"/>
        <v>1136</v>
      </c>
      <c r="G1147" s="193" t="s">
        <v>121</v>
      </c>
      <c r="H1147" s="193"/>
      <c r="I1147" s="211">
        <v>18</v>
      </c>
      <c r="J1147" s="198" t="str">
        <f t="shared" si="455"/>
        <v>1664 mm id</v>
      </c>
      <c r="K1147" s="221">
        <v>1</v>
      </c>
      <c r="L1147" s="195" t="s">
        <v>81</v>
      </c>
      <c r="M1147" s="214">
        <f t="shared" si="456"/>
        <v>1.6639999999999999</v>
      </c>
      <c r="N1147" s="195" t="s">
        <v>139</v>
      </c>
      <c r="O1147" s="233">
        <f>VLOOKUP(I1147,BM!$B$3:$Y$62,18,FALSE)</f>
        <v>1</v>
      </c>
      <c r="P1147" s="195" t="s">
        <v>112</v>
      </c>
      <c r="Q1147" s="227">
        <f t="shared" si="453"/>
        <v>1.6639999999999999</v>
      </c>
      <c r="R1147" s="226">
        <v>1</v>
      </c>
      <c r="S1147" s="227">
        <f t="shared" si="432"/>
        <v>2.66</v>
      </c>
      <c r="T1147" s="203" t="s">
        <v>48</v>
      </c>
      <c r="U1147" s="183" t="str">
        <f t="shared" si="430"/>
        <v>2.66 Hrs</v>
      </c>
    </row>
    <row r="1148" spans="3:21" s="172" customFormat="1" ht="20.25" customHeight="1">
      <c r="C1148" s="185"/>
      <c r="D1148" s="190">
        <f t="shared" si="420"/>
        <v>1138</v>
      </c>
      <c r="E1148" s="194" t="s">
        <v>527</v>
      </c>
      <c r="F1148" s="198">
        <f t="shared" si="454"/>
        <v>1137</v>
      </c>
      <c r="G1148" s="193" t="s">
        <v>115</v>
      </c>
      <c r="H1148" s="193"/>
      <c r="I1148" s="211">
        <v>6</v>
      </c>
      <c r="J1148" s="198" t="str">
        <f t="shared" si="455"/>
        <v>1664 mm id</v>
      </c>
      <c r="K1148" s="221">
        <v>1</v>
      </c>
      <c r="L1148" s="195" t="s">
        <v>81</v>
      </c>
      <c r="M1148" s="214">
        <f t="shared" si="456"/>
        <v>1.6639999999999999</v>
      </c>
      <c r="N1148" s="195" t="s">
        <v>139</v>
      </c>
      <c r="O1148" s="233">
        <f>VLOOKUP(I1148,BM!$B$3:$Y$62,12,FALSE)</f>
        <v>0.9</v>
      </c>
      <c r="P1148" s="195" t="s">
        <v>112</v>
      </c>
      <c r="Q1148" s="227">
        <f t="shared" si="453"/>
        <v>1.4976</v>
      </c>
      <c r="R1148" s="226">
        <v>1</v>
      </c>
      <c r="S1148" s="227">
        <f t="shared" si="432"/>
        <v>2.5</v>
      </c>
      <c r="T1148" s="203" t="s">
        <v>48</v>
      </c>
      <c r="U1148" s="183" t="str">
        <f t="shared" si="430"/>
        <v>2.5 Hrs</v>
      </c>
    </row>
    <row r="1149" spans="3:21" s="172" customFormat="1" ht="20.25" customHeight="1">
      <c r="C1149" s="185"/>
      <c r="D1149" s="190">
        <f t="shared" si="420"/>
        <v>1139</v>
      </c>
      <c r="E1149" s="194" t="s">
        <v>528</v>
      </c>
      <c r="F1149" s="198">
        <f t="shared" si="454"/>
        <v>1138</v>
      </c>
      <c r="G1149" s="193" t="s">
        <v>61</v>
      </c>
      <c r="H1149" s="193"/>
      <c r="I1149" s="211">
        <v>6</v>
      </c>
      <c r="J1149" s="198" t="str">
        <f t="shared" si="455"/>
        <v>1664 mm id</v>
      </c>
      <c r="K1149" s="221">
        <v>1</v>
      </c>
      <c r="L1149" s="195" t="s">
        <v>81</v>
      </c>
      <c r="M1149" s="214">
        <f t="shared" si="456"/>
        <v>1.6639999999999999</v>
      </c>
      <c r="N1149" s="195" t="s">
        <v>139</v>
      </c>
      <c r="O1149" s="233">
        <f>VLOOKUP(I1149,BM!$B$3:$Y$62,20,FALSE)</f>
        <v>0.5</v>
      </c>
      <c r="P1149" s="195" t="s">
        <v>112</v>
      </c>
      <c r="Q1149" s="227">
        <f t="shared" si="453"/>
        <v>0.83199999999999996</v>
      </c>
      <c r="R1149" s="226">
        <v>1</v>
      </c>
      <c r="S1149" s="227">
        <f t="shared" si="432"/>
        <v>1.83</v>
      </c>
      <c r="T1149" s="203" t="s">
        <v>48</v>
      </c>
      <c r="U1149" s="183" t="str">
        <f t="shared" si="430"/>
        <v>1.83 Hrs</v>
      </c>
    </row>
    <row r="1150" spans="3:21" s="172" customFormat="1" ht="20.25" customHeight="1">
      <c r="C1150" s="185"/>
      <c r="D1150" s="190">
        <f t="shared" si="420"/>
        <v>1140</v>
      </c>
      <c r="E1150" s="194" t="s">
        <v>529</v>
      </c>
      <c r="F1150" s="198">
        <f t="shared" si="454"/>
        <v>1139</v>
      </c>
      <c r="G1150" s="193" t="s">
        <v>286</v>
      </c>
      <c r="H1150" s="193"/>
      <c r="I1150" s="211">
        <v>18</v>
      </c>
      <c r="J1150" s="198" t="str">
        <f t="shared" si="455"/>
        <v>1664 mm id</v>
      </c>
      <c r="K1150" s="221">
        <v>1</v>
      </c>
      <c r="L1150" s="195" t="s">
        <v>81</v>
      </c>
      <c r="M1150" s="204">
        <v>1</v>
      </c>
      <c r="N1150" s="195" t="s">
        <v>139</v>
      </c>
      <c r="O1150" s="205">
        <v>3</v>
      </c>
      <c r="P1150" s="195" t="s">
        <v>112</v>
      </c>
      <c r="Q1150" s="227">
        <f t="shared" si="453"/>
        <v>3</v>
      </c>
      <c r="R1150" s="226">
        <v>1</v>
      </c>
      <c r="S1150" s="227">
        <f t="shared" si="432"/>
        <v>4</v>
      </c>
      <c r="T1150" s="203" t="s">
        <v>48</v>
      </c>
      <c r="U1150" s="183" t="str">
        <f t="shared" si="430"/>
        <v>4 Hrs</v>
      </c>
    </row>
    <row r="1151" spans="3:21" s="172" customFormat="1" ht="20.25" customHeight="1">
      <c r="C1151" s="185">
        <f>D1151</f>
        <v>1141</v>
      </c>
      <c r="D1151" s="190">
        <f t="shared" si="420"/>
        <v>1141</v>
      </c>
      <c r="E1151" s="191" t="s">
        <v>530</v>
      </c>
      <c r="F1151" s="197">
        <f>C1144</f>
        <v>1134</v>
      </c>
      <c r="G1151" s="193"/>
      <c r="H1151" s="193"/>
      <c r="I1151" s="195"/>
      <c r="J1151" s="195"/>
      <c r="K1151" s="221"/>
      <c r="L1151" s="195"/>
      <c r="M1151" s="204"/>
      <c r="N1151" s="195"/>
      <c r="O1151" s="205"/>
      <c r="P1151" s="195"/>
      <c r="Q1151" s="227"/>
      <c r="R1151" s="226"/>
      <c r="S1151" s="227"/>
      <c r="T1151" s="203"/>
      <c r="U1151" s="183"/>
    </row>
    <row r="1152" spans="3:21" s="172" customFormat="1" ht="20.25" customHeight="1">
      <c r="C1152" s="185"/>
      <c r="D1152" s="190">
        <f t="shared" si="420"/>
        <v>1142</v>
      </c>
      <c r="E1152" s="194" t="s">
        <v>531</v>
      </c>
      <c r="F1152" s="198"/>
      <c r="G1152" s="193" t="s">
        <v>312</v>
      </c>
      <c r="H1152" s="193"/>
      <c r="I1152" s="220">
        <f>I1150</f>
        <v>18</v>
      </c>
      <c r="J1152" s="198" t="str">
        <f t="shared" ref="J1152:M1152" si="457">J1150</f>
        <v>1664 mm id</v>
      </c>
      <c r="K1152" s="212">
        <f t="shared" si="457"/>
        <v>1</v>
      </c>
      <c r="L1152" s="198" t="str">
        <f t="shared" si="457"/>
        <v>Nos</v>
      </c>
      <c r="M1152" s="198">
        <f t="shared" si="457"/>
        <v>1</v>
      </c>
      <c r="N1152" s="195" t="s">
        <v>39</v>
      </c>
      <c r="O1152" s="205">
        <v>1</v>
      </c>
      <c r="P1152" s="195" t="s">
        <v>41</v>
      </c>
      <c r="Q1152" s="227">
        <f t="shared" ref="Q1152" si="458">M1152*O1152</f>
        <v>1</v>
      </c>
      <c r="R1152" s="198"/>
      <c r="S1152" s="227">
        <f t="shared" si="432"/>
        <v>1</v>
      </c>
      <c r="T1152" s="203" t="s">
        <v>42</v>
      </c>
      <c r="U1152" s="183" t="str">
        <f t="shared" si="430"/>
        <v>1 Days</v>
      </c>
    </row>
    <row r="1153" spans="3:21" s="172" customFormat="1" ht="20.25" customHeight="1">
      <c r="C1153" s="185">
        <f>D1153</f>
        <v>1143</v>
      </c>
      <c r="D1153" s="190">
        <f t="shared" si="420"/>
        <v>1143</v>
      </c>
      <c r="E1153" s="191" t="s">
        <v>532</v>
      </c>
      <c r="F1153" s="197">
        <f>C1151</f>
        <v>1141</v>
      </c>
      <c r="G1153" s="193"/>
      <c r="H1153" s="193"/>
      <c r="I1153" s="195"/>
      <c r="J1153" s="195"/>
      <c r="K1153" s="221"/>
      <c r="L1153" s="195"/>
      <c r="M1153" s="204"/>
      <c r="N1153" s="195"/>
      <c r="O1153" s="205"/>
      <c r="P1153" s="195"/>
      <c r="Q1153" s="227"/>
      <c r="R1153" s="226"/>
      <c r="S1153" s="227"/>
      <c r="T1153" s="203"/>
      <c r="U1153" s="183"/>
    </row>
    <row r="1154" spans="3:21" s="172" customFormat="1" ht="20.25" customHeight="1">
      <c r="C1154" s="185"/>
      <c r="D1154" s="190">
        <f t="shared" si="420"/>
        <v>1144</v>
      </c>
      <c r="E1154" s="194" t="s">
        <v>533</v>
      </c>
      <c r="F1154" s="198"/>
      <c r="G1154" s="193" t="s">
        <v>348</v>
      </c>
      <c r="H1154" s="193"/>
      <c r="I1154" s="211">
        <v>18</v>
      </c>
      <c r="J1154" s="198" t="str">
        <f>J1152</f>
        <v>1664 mm id</v>
      </c>
      <c r="K1154" s="221">
        <v>1</v>
      </c>
      <c r="L1154" s="195" t="s">
        <v>81</v>
      </c>
      <c r="M1154" s="214">
        <f>LEFT(J1154,SEARCH(" ",J1154,1)-1)*K1154*3.142/1000</f>
        <v>5.2282879999999992</v>
      </c>
      <c r="N1154" s="195" t="s">
        <v>139</v>
      </c>
      <c r="O1154" s="233">
        <f>VLOOKUP(I1154,BM!$B$3:$Y$62,15,FALSE)</f>
        <v>1</v>
      </c>
      <c r="P1154" s="195" t="s">
        <v>112</v>
      </c>
      <c r="Q1154" s="227">
        <f t="shared" ref="Q1154:Q1156" si="459">M1154*O1154</f>
        <v>5.2282879999999992</v>
      </c>
      <c r="R1154" s="226">
        <v>1</v>
      </c>
      <c r="S1154" s="227">
        <f t="shared" si="432"/>
        <v>6.23</v>
      </c>
      <c r="T1154" s="203" t="s">
        <v>48</v>
      </c>
      <c r="U1154" s="183" t="str">
        <f t="shared" si="430"/>
        <v>6.23 Hrs</v>
      </c>
    </row>
    <row r="1155" spans="3:21" s="172" customFormat="1" ht="20.25" customHeight="1">
      <c r="C1155" s="185"/>
      <c r="D1155" s="190">
        <f t="shared" si="420"/>
        <v>1145</v>
      </c>
      <c r="E1155" s="194" t="s">
        <v>534</v>
      </c>
      <c r="F1155" s="198">
        <f t="shared" ref="F1155:F1156" si="460">D1154</f>
        <v>1144</v>
      </c>
      <c r="G1155" s="193" t="s">
        <v>111</v>
      </c>
      <c r="H1155" s="193"/>
      <c r="I1155" s="211">
        <v>18</v>
      </c>
      <c r="J1155" s="198" t="str">
        <f>J1154</f>
        <v>1664 mm id</v>
      </c>
      <c r="K1155" s="221">
        <v>1</v>
      </c>
      <c r="L1155" s="195" t="s">
        <v>81</v>
      </c>
      <c r="M1155" s="214">
        <f>LEFT(J1155,SEARCH(" ",J1155,1)-1)*K1155*3.142/1000</f>
        <v>5.2282879999999992</v>
      </c>
      <c r="N1155" s="195" t="s">
        <v>39</v>
      </c>
      <c r="O1155" s="233">
        <f>VLOOKUP(I1155,BM!$B$3:$Y$62,16,FALSE)</f>
        <v>1</v>
      </c>
      <c r="P1155" s="195" t="s">
        <v>112</v>
      </c>
      <c r="Q1155" s="227">
        <f t="shared" si="459"/>
        <v>5.2282879999999992</v>
      </c>
      <c r="R1155" s="226">
        <v>1</v>
      </c>
      <c r="S1155" s="227">
        <f t="shared" si="432"/>
        <v>6.23</v>
      </c>
      <c r="T1155" s="203" t="s">
        <v>48</v>
      </c>
      <c r="U1155" s="183" t="str">
        <f t="shared" si="430"/>
        <v>6.23 Hrs</v>
      </c>
    </row>
    <row r="1156" spans="3:21" s="172" customFormat="1" ht="20.25" customHeight="1">
      <c r="C1156" s="185"/>
      <c r="D1156" s="190">
        <f t="shared" si="420"/>
        <v>1146</v>
      </c>
      <c r="E1156" s="194" t="s">
        <v>535</v>
      </c>
      <c r="F1156" s="198">
        <f t="shared" si="460"/>
        <v>1145</v>
      </c>
      <c r="G1156" s="193" t="s">
        <v>44</v>
      </c>
      <c r="H1156" s="193"/>
      <c r="I1156" s="211">
        <v>18</v>
      </c>
      <c r="J1156" s="198" t="str">
        <f>J1155</f>
        <v>1664 mm id</v>
      </c>
      <c r="K1156" s="221">
        <v>1</v>
      </c>
      <c r="L1156" s="195" t="s">
        <v>81</v>
      </c>
      <c r="M1156" s="214">
        <f t="shared" ref="M1156" si="461">LEFT(J1156,SEARCH(" ",J1156,1)-1)*K1156*3.142/1000</f>
        <v>5.2282879999999992</v>
      </c>
      <c r="N1156" s="195" t="s">
        <v>50</v>
      </c>
      <c r="O1156" s="205">
        <v>0.25</v>
      </c>
      <c r="P1156" s="195" t="s">
        <v>112</v>
      </c>
      <c r="Q1156" s="227">
        <f t="shared" si="459"/>
        <v>1.3070719999999998</v>
      </c>
      <c r="R1156" s="226">
        <v>1</v>
      </c>
      <c r="S1156" s="227">
        <f t="shared" si="432"/>
        <v>2.31</v>
      </c>
      <c r="T1156" s="203" t="s">
        <v>48</v>
      </c>
      <c r="U1156" s="183" t="str">
        <f t="shared" si="430"/>
        <v>2.31 Hrs</v>
      </c>
    </row>
    <row r="1157" spans="3:21" s="172" customFormat="1" ht="20.25" customHeight="1">
      <c r="C1157" s="185">
        <f>D1157</f>
        <v>1147</v>
      </c>
      <c r="D1157" s="190">
        <f t="shared" si="420"/>
        <v>1147</v>
      </c>
      <c r="E1157" s="191" t="s">
        <v>536</v>
      </c>
      <c r="F1157" s="197">
        <f>C1153</f>
        <v>1143</v>
      </c>
      <c r="G1157" s="193"/>
      <c r="H1157" s="193"/>
      <c r="I1157" s="195"/>
      <c r="J1157" s="195"/>
      <c r="K1157" s="221"/>
      <c r="L1157" s="195"/>
      <c r="M1157" s="204"/>
      <c r="N1157" s="195"/>
      <c r="O1157" s="205"/>
      <c r="P1157" s="195"/>
      <c r="Q1157" s="227"/>
      <c r="R1157" s="226"/>
      <c r="S1157" s="227"/>
      <c r="T1157" s="203"/>
      <c r="U1157" s="183"/>
    </row>
    <row r="1158" spans="3:21" s="172" customFormat="1" ht="20.25" customHeight="1">
      <c r="C1158" s="185"/>
      <c r="D1158" s="190">
        <f t="shared" si="420"/>
        <v>1148</v>
      </c>
      <c r="E1158" s="194" t="s">
        <v>537</v>
      </c>
      <c r="F1158" s="198"/>
      <c r="G1158" s="193" t="s">
        <v>201</v>
      </c>
      <c r="H1158" s="193"/>
      <c r="I1158" s="211">
        <v>12</v>
      </c>
      <c r="J1158" s="198" t="str">
        <f>J1156</f>
        <v>1664 mm id</v>
      </c>
      <c r="K1158" s="221">
        <v>1</v>
      </c>
      <c r="L1158" s="195" t="s">
        <v>81</v>
      </c>
      <c r="M1158" s="204">
        <v>1</v>
      </c>
      <c r="N1158" s="195" t="s">
        <v>249</v>
      </c>
      <c r="O1158" s="205">
        <v>1</v>
      </c>
      <c r="P1158" s="195" t="s">
        <v>112</v>
      </c>
      <c r="Q1158" s="227">
        <f t="shared" ref="Q1158:Q1167" si="462">M1158*O1158</f>
        <v>1</v>
      </c>
      <c r="R1158" s="226">
        <v>1</v>
      </c>
      <c r="S1158" s="227">
        <f t="shared" si="432"/>
        <v>2</v>
      </c>
      <c r="T1158" s="203" t="s">
        <v>48</v>
      </c>
      <c r="U1158" s="183" t="str">
        <f t="shared" si="430"/>
        <v>2 Hrs</v>
      </c>
    </row>
    <row r="1159" spans="3:21" s="172" customFormat="1" ht="20.25" customHeight="1">
      <c r="C1159" s="185"/>
      <c r="D1159" s="190">
        <f t="shared" si="420"/>
        <v>1149</v>
      </c>
      <c r="E1159" s="194" t="s">
        <v>538</v>
      </c>
      <c r="F1159" s="198">
        <f t="shared" ref="F1159:F1162" si="463">D1158</f>
        <v>1148</v>
      </c>
      <c r="G1159" s="193" t="s">
        <v>115</v>
      </c>
      <c r="H1159" s="193"/>
      <c r="I1159" s="211">
        <v>12</v>
      </c>
      <c r="J1159" s="198" t="str">
        <f>J1158</f>
        <v>1664 mm id</v>
      </c>
      <c r="K1159" s="221">
        <v>1</v>
      </c>
      <c r="L1159" s="195" t="s">
        <v>81</v>
      </c>
      <c r="M1159" s="214">
        <f t="shared" ref="M1159:M1162" si="464">LEFT(J1159,SEARCH(" ",J1159,1)-1)*K1159*3.142/1000</f>
        <v>5.2282879999999992</v>
      </c>
      <c r="N1159" s="195" t="s">
        <v>249</v>
      </c>
      <c r="O1159" s="233">
        <f>VLOOKUP(I1159,BM!$B$3:$Y$62,17,FALSE)</f>
        <v>2.5</v>
      </c>
      <c r="P1159" s="195" t="s">
        <v>112</v>
      </c>
      <c r="Q1159" s="227">
        <f t="shared" si="462"/>
        <v>13.070719999999998</v>
      </c>
      <c r="R1159" s="226">
        <v>1</v>
      </c>
      <c r="S1159" s="227">
        <f t="shared" si="432"/>
        <v>14.07</v>
      </c>
      <c r="T1159" s="203" t="s">
        <v>48</v>
      </c>
      <c r="U1159" s="183" t="str">
        <f t="shared" si="430"/>
        <v>14.07 Hrs</v>
      </c>
    </row>
    <row r="1160" spans="3:21" s="172" customFormat="1" ht="20.25" customHeight="1">
      <c r="C1160" s="185"/>
      <c r="D1160" s="190">
        <f t="shared" si="420"/>
        <v>1150</v>
      </c>
      <c r="E1160" s="194" t="s">
        <v>539</v>
      </c>
      <c r="F1160" s="198">
        <f t="shared" si="463"/>
        <v>1149</v>
      </c>
      <c r="G1160" s="193" t="s">
        <v>61</v>
      </c>
      <c r="H1160" s="193"/>
      <c r="I1160" s="211">
        <v>18</v>
      </c>
      <c r="J1160" s="198" t="str">
        <f t="shared" ref="J1160:J1162" si="465">J1158</f>
        <v>1664 mm id</v>
      </c>
      <c r="K1160" s="221">
        <v>1</v>
      </c>
      <c r="L1160" s="195" t="s">
        <v>81</v>
      </c>
      <c r="M1160" s="214">
        <f t="shared" si="464"/>
        <v>5.2282879999999992</v>
      </c>
      <c r="N1160" s="195" t="s">
        <v>249</v>
      </c>
      <c r="O1160" s="233">
        <f>VLOOKUP(I1160,BM!$B$3:$Y$62,18,FALSE)</f>
        <v>1</v>
      </c>
      <c r="P1160" s="195" t="s">
        <v>112</v>
      </c>
      <c r="Q1160" s="227">
        <f t="shared" si="462"/>
        <v>5.2282879999999992</v>
      </c>
      <c r="R1160" s="226">
        <v>1</v>
      </c>
      <c r="S1160" s="227">
        <f t="shared" si="432"/>
        <v>6.23</v>
      </c>
      <c r="T1160" s="203" t="s">
        <v>48</v>
      </c>
      <c r="U1160" s="183" t="str">
        <f t="shared" si="430"/>
        <v>6.23 Hrs</v>
      </c>
    </row>
    <row r="1161" spans="3:21" s="172" customFormat="1" ht="20.25" customHeight="1">
      <c r="C1161" s="185"/>
      <c r="D1161" s="190">
        <f t="shared" si="420"/>
        <v>1151</v>
      </c>
      <c r="E1161" s="194" t="s">
        <v>540</v>
      </c>
      <c r="F1161" s="198">
        <f t="shared" si="463"/>
        <v>1150</v>
      </c>
      <c r="G1161" s="193" t="s">
        <v>115</v>
      </c>
      <c r="H1161" s="193"/>
      <c r="I1161" s="211">
        <v>6</v>
      </c>
      <c r="J1161" s="198" t="str">
        <f t="shared" si="465"/>
        <v>1664 mm id</v>
      </c>
      <c r="K1161" s="221">
        <v>1</v>
      </c>
      <c r="L1161" s="195" t="s">
        <v>81</v>
      </c>
      <c r="M1161" s="214">
        <f t="shared" si="464"/>
        <v>5.2282879999999992</v>
      </c>
      <c r="N1161" s="195" t="s">
        <v>249</v>
      </c>
      <c r="O1161" s="233">
        <f>VLOOKUP(I1161,BM!$B$3:$Y$62,17,FALSE)</f>
        <v>0.9</v>
      </c>
      <c r="P1161" s="195" t="s">
        <v>112</v>
      </c>
      <c r="Q1161" s="227">
        <f t="shared" si="462"/>
        <v>4.7054591999999991</v>
      </c>
      <c r="R1161" s="226">
        <v>1</v>
      </c>
      <c r="S1161" s="227">
        <f t="shared" si="432"/>
        <v>5.71</v>
      </c>
      <c r="T1161" s="203" t="s">
        <v>48</v>
      </c>
      <c r="U1161" s="183" t="str">
        <f t="shared" si="430"/>
        <v>5.71 Hrs</v>
      </c>
    </row>
    <row r="1162" spans="3:21" s="172" customFormat="1" ht="20.25" customHeight="1">
      <c r="C1162" s="185"/>
      <c r="D1162" s="190">
        <f t="shared" si="420"/>
        <v>1152</v>
      </c>
      <c r="E1162" s="194" t="s">
        <v>541</v>
      </c>
      <c r="F1162" s="198">
        <f t="shared" si="463"/>
        <v>1151</v>
      </c>
      <c r="G1162" s="193" t="s">
        <v>61</v>
      </c>
      <c r="H1162" s="193"/>
      <c r="I1162" s="211">
        <v>18</v>
      </c>
      <c r="J1162" s="198" t="str">
        <f t="shared" si="465"/>
        <v>1664 mm id</v>
      </c>
      <c r="K1162" s="221">
        <v>1</v>
      </c>
      <c r="L1162" s="195" t="s">
        <v>81</v>
      </c>
      <c r="M1162" s="214">
        <f t="shared" si="464"/>
        <v>5.2282879999999992</v>
      </c>
      <c r="N1162" s="195" t="s">
        <v>249</v>
      </c>
      <c r="O1162" s="233">
        <f>VLOOKUP(I1162,BM!$B$3:$Y$62,20,FALSE)</f>
        <v>0.5</v>
      </c>
      <c r="P1162" s="195" t="s">
        <v>112</v>
      </c>
      <c r="Q1162" s="227">
        <f t="shared" si="462"/>
        <v>2.6141439999999996</v>
      </c>
      <c r="R1162" s="226">
        <v>1</v>
      </c>
      <c r="S1162" s="227">
        <f t="shared" si="432"/>
        <v>3.61</v>
      </c>
      <c r="T1162" s="203" t="s">
        <v>48</v>
      </c>
      <c r="U1162" s="183" t="str">
        <f t="shared" si="430"/>
        <v>3.61 Hrs</v>
      </c>
    </row>
    <row r="1163" spans="3:21" s="172" customFormat="1" ht="20.25" customHeight="1">
      <c r="C1163" s="185">
        <f>D1163</f>
        <v>1153</v>
      </c>
      <c r="D1163" s="190">
        <f t="shared" si="420"/>
        <v>1153</v>
      </c>
      <c r="E1163" s="191" t="s">
        <v>542</v>
      </c>
      <c r="F1163" s="197">
        <f>C1157</f>
        <v>1147</v>
      </c>
      <c r="G1163" s="193"/>
      <c r="H1163" s="193"/>
      <c r="I1163" s="195"/>
      <c r="J1163" s="195"/>
      <c r="K1163" s="221"/>
      <c r="L1163" s="195"/>
      <c r="M1163" s="204"/>
      <c r="N1163" s="195"/>
      <c r="O1163" s="205"/>
      <c r="P1163" s="195"/>
      <c r="Q1163" s="227">
        <f t="shared" si="462"/>
        <v>0</v>
      </c>
      <c r="R1163" s="226"/>
      <c r="S1163" s="227"/>
      <c r="T1163" s="203"/>
      <c r="U1163" s="183"/>
    </row>
    <row r="1164" spans="3:21" s="172" customFormat="1" ht="20.25" customHeight="1">
      <c r="C1164" s="185"/>
      <c r="D1164" s="190">
        <f t="shared" si="420"/>
        <v>1154</v>
      </c>
      <c r="E1164" s="194" t="s">
        <v>543</v>
      </c>
      <c r="F1164" s="198"/>
      <c r="G1164" s="193" t="s">
        <v>52</v>
      </c>
      <c r="H1164" s="193"/>
      <c r="I1164" s="211">
        <v>18</v>
      </c>
      <c r="J1164" s="198" t="str">
        <f>J1162</f>
        <v>1664 mm id</v>
      </c>
      <c r="K1164" s="221">
        <v>1</v>
      </c>
      <c r="L1164" s="195" t="s">
        <v>81</v>
      </c>
      <c r="M1164" s="214">
        <f t="shared" ref="M1164:M1167" si="466">LEFT(J1164,SEARCH(" ",J1164,1)-1)*K1164*3.142/1000</f>
        <v>5.2282879999999992</v>
      </c>
      <c r="N1164" s="195" t="s">
        <v>139</v>
      </c>
      <c r="O1164" s="233">
        <f>VLOOKUP(I1164,BM!$B$3:$Y$62,10,FALSE)</f>
        <v>1</v>
      </c>
      <c r="P1164" s="195" t="s">
        <v>112</v>
      </c>
      <c r="Q1164" s="227">
        <f t="shared" si="462"/>
        <v>5.2282879999999992</v>
      </c>
      <c r="R1164" s="226">
        <v>1</v>
      </c>
      <c r="S1164" s="227">
        <f t="shared" si="432"/>
        <v>6.23</v>
      </c>
      <c r="T1164" s="203" t="s">
        <v>48</v>
      </c>
      <c r="U1164" s="183" t="str">
        <f t="shared" si="430"/>
        <v>6.23 Hrs</v>
      </c>
    </row>
    <row r="1165" spans="3:21" s="172" customFormat="1" ht="20.25" customHeight="1">
      <c r="C1165" s="185"/>
      <c r="D1165" s="190">
        <f t="shared" ref="D1165:D1228" si="467">D1164+1</f>
        <v>1155</v>
      </c>
      <c r="E1165" s="194" t="s">
        <v>544</v>
      </c>
      <c r="F1165" s="198">
        <f t="shared" ref="F1165:F1167" si="468">D1164</f>
        <v>1154</v>
      </c>
      <c r="G1165" s="193" t="s">
        <v>44</v>
      </c>
      <c r="H1165" s="193"/>
      <c r="I1165" s="211">
        <v>18</v>
      </c>
      <c r="J1165" s="198" t="str">
        <f t="shared" ref="J1165:J1167" si="469">J1164</f>
        <v>1664 mm id</v>
      </c>
      <c r="K1165" s="221">
        <v>1</v>
      </c>
      <c r="L1165" s="195" t="s">
        <v>81</v>
      </c>
      <c r="M1165" s="214">
        <f t="shared" si="466"/>
        <v>5.2282879999999992</v>
      </c>
      <c r="N1165" s="195" t="s">
        <v>139</v>
      </c>
      <c r="O1165" s="233">
        <f>VLOOKUP(I1165,BM!$B$3:$Y$62,16,FALSE)</f>
        <v>1</v>
      </c>
      <c r="P1165" s="195" t="s">
        <v>112</v>
      </c>
      <c r="Q1165" s="227">
        <f t="shared" si="462"/>
        <v>5.2282879999999992</v>
      </c>
      <c r="R1165" s="226">
        <v>1</v>
      </c>
      <c r="S1165" s="227">
        <f t="shared" si="432"/>
        <v>6.23</v>
      </c>
      <c r="T1165" s="203" t="s">
        <v>48</v>
      </c>
      <c r="U1165" s="183" t="str">
        <f t="shared" si="430"/>
        <v>6.23 Hrs</v>
      </c>
    </row>
    <row r="1166" spans="3:21" s="172" customFormat="1" ht="20.25" customHeight="1">
      <c r="C1166" s="185"/>
      <c r="D1166" s="190">
        <f t="shared" si="467"/>
        <v>1156</v>
      </c>
      <c r="E1166" s="194" t="s">
        <v>545</v>
      </c>
      <c r="F1166" s="198">
        <f t="shared" si="468"/>
        <v>1155</v>
      </c>
      <c r="G1166" s="193" t="s">
        <v>111</v>
      </c>
      <c r="H1166" s="193"/>
      <c r="I1166" s="211">
        <v>18</v>
      </c>
      <c r="J1166" s="198" t="str">
        <f t="shared" si="469"/>
        <v>1664 mm id</v>
      </c>
      <c r="K1166" s="221">
        <v>1</v>
      </c>
      <c r="L1166" s="195" t="s">
        <v>81</v>
      </c>
      <c r="M1166" s="214">
        <f t="shared" si="466"/>
        <v>5.2282879999999992</v>
      </c>
      <c r="N1166" s="195" t="s">
        <v>139</v>
      </c>
      <c r="O1166" s="205">
        <v>4</v>
      </c>
      <c r="P1166" s="195" t="s">
        <v>112</v>
      </c>
      <c r="Q1166" s="227">
        <f t="shared" si="462"/>
        <v>20.913151999999997</v>
      </c>
      <c r="R1166" s="226">
        <v>1</v>
      </c>
      <c r="S1166" s="227">
        <f t="shared" si="432"/>
        <v>21.91</v>
      </c>
      <c r="T1166" s="203" t="s">
        <v>48</v>
      </c>
      <c r="U1166" s="183" t="str">
        <f t="shared" si="430"/>
        <v>21.91 Hrs</v>
      </c>
    </row>
    <row r="1167" spans="3:21" s="172" customFormat="1" ht="20.25" customHeight="1">
      <c r="C1167" s="185"/>
      <c r="D1167" s="190">
        <f t="shared" si="467"/>
        <v>1157</v>
      </c>
      <c r="E1167" s="194" t="s">
        <v>546</v>
      </c>
      <c r="F1167" s="198">
        <f t="shared" si="468"/>
        <v>1156</v>
      </c>
      <c r="G1167" s="193" t="s">
        <v>63</v>
      </c>
      <c r="H1167" s="193"/>
      <c r="I1167" s="211">
        <v>18</v>
      </c>
      <c r="J1167" s="198" t="str">
        <f t="shared" si="469"/>
        <v>1664 mm id</v>
      </c>
      <c r="K1167" s="221">
        <v>1</v>
      </c>
      <c r="L1167" s="195" t="s">
        <v>81</v>
      </c>
      <c r="M1167" s="214">
        <f t="shared" si="466"/>
        <v>5.2282879999999992</v>
      </c>
      <c r="N1167" s="195" t="s">
        <v>39</v>
      </c>
      <c r="O1167" s="205">
        <v>3.5</v>
      </c>
      <c r="P1167" s="195" t="s">
        <v>112</v>
      </c>
      <c r="Q1167" s="227">
        <f t="shared" si="462"/>
        <v>18.299007999999997</v>
      </c>
      <c r="R1167" s="226">
        <v>1</v>
      </c>
      <c r="S1167" s="227">
        <f t="shared" si="432"/>
        <v>19.3</v>
      </c>
      <c r="T1167" s="203" t="s">
        <v>48</v>
      </c>
      <c r="U1167" s="183" t="str">
        <f t="shared" si="430"/>
        <v>19.3 Hrs</v>
      </c>
    </row>
    <row r="1168" spans="3:21" s="172" customFormat="1" ht="20.25" customHeight="1">
      <c r="C1168" s="185">
        <f>D1168</f>
        <v>1158</v>
      </c>
      <c r="D1168" s="190">
        <f t="shared" si="467"/>
        <v>1158</v>
      </c>
      <c r="E1168" s="191" t="s">
        <v>547</v>
      </c>
      <c r="F1168" s="197">
        <f>C1163</f>
        <v>1153</v>
      </c>
      <c r="G1168" s="193"/>
      <c r="H1168" s="193"/>
      <c r="I1168" s="195"/>
      <c r="J1168" s="195"/>
      <c r="K1168" s="221"/>
      <c r="L1168" s="195"/>
      <c r="M1168" s="204"/>
      <c r="N1168" s="195"/>
      <c r="O1168" s="205"/>
      <c r="P1168" s="195"/>
      <c r="Q1168" s="227"/>
      <c r="R1168" s="226"/>
      <c r="S1168" s="227"/>
      <c r="T1168" s="203"/>
      <c r="U1168" s="183"/>
    </row>
    <row r="1169" spans="3:21" s="172" customFormat="1" ht="20.25" customHeight="1">
      <c r="C1169" s="185"/>
      <c r="D1169" s="190">
        <f t="shared" si="467"/>
        <v>1159</v>
      </c>
      <c r="E1169" s="194" t="s">
        <v>548</v>
      </c>
      <c r="F1169" s="198"/>
      <c r="G1169" s="193" t="s">
        <v>201</v>
      </c>
      <c r="H1169" s="193"/>
      <c r="I1169" s="211">
        <v>12</v>
      </c>
      <c r="J1169" s="198" t="str">
        <f>J1167</f>
        <v>1664 mm id</v>
      </c>
      <c r="K1169" s="221">
        <v>1</v>
      </c>
      <c r="L1169" s="195" t="s">
        <v>81</v>
      </c>
      <c r="M1169" s="204">
        <v>1</v>
      </c>
      <c r="N1169" s="195" t="s">
        <v>249</v>
      </c>
      <c r="O1169" s="205">
        <v>1</v>
      </c>
      <c r="P1169" s="195" t="s">
        <v>112</v>
      </c>
      <c r="Q1169" s="227">
        <f t="shared" ref="Q1169:Q1173" si="470">M1169*O1169</f>
        <v>1</v>
      </c>
      <c r="R1169" s="226">
        <v>1</v>
      </c>
      <c r="S1169" s="227">
        <f t="shared" si="432"/>
        <v>2</v>
      </c>
      <c r="T1169" s="203" t="s">
        <v>48</v>
      </c>
      <c r="U1169" s="183" t="str">
        <f t="shared" si="430"/>
        <v>2 Hrs</v>
      </c>
    </row>
    <row r="1170" spans="3:21" s="172" customFormat="1" ht="20.25" customHeight="1">
      <c r="C1170" s="185"/>
      <c r="D1170" s="190">
        <f t="shared" si="467"/>
        <v>1160</v>
      </c>
      <c r="E1170" s="194" t="s">
        <v>549</v>
      </c>
      <c r="F1170" s="198">
        <f t="shared" ref="F1170:F1173" si="471">D1169</f>
        <v>1159</v>
      </c>
      <c r="G1170" s="193" t="s">
        <v>115</v>
      </c>
      <c r="H1170" s="193"/>
      <c r="I1170" s="211">
        <v>12</v>
      </c>
      <c r="J1170" s="198" t="str">
        <f t="shared" ref="J1170:J1173" si="472">J1169</f>
        <v>1664 mm id</v>
      </c>
      <c r="K1170" s="221">
        <v>1</v>
      </c>
      <c r="L1170" s="195" t="s">
        <v>81</v>
      </c>
      <c r="M1170" s="214">
        <f t="shared" ref="M1170:M1173" si="473">LEFT(J1170,SEARCH(" ",J1170,1)-1)*K1170*3.142/1000</f>
        <v>5.2282879999999992</v>
      </c>
      <c r="N1170" s="195" t="s">
        <v>249</v>
      </c>
      <c r="O1170" s="233">
        <f>VLOOKUP(I1170,BM!$B$3:$Y$62,17,FALSE)</f>
        <v>2.5</v>
      </c>
      <c r="P1170" s="195" t="s">
        <v>112</v>
      </c>
      <c r="Q1170" s="227">
        <f t="shared" si="470"/>
        <v>13.070719999999998</v>
      </c>
      <c r="R1170" s="226">
        <v>1</v>
      </c>
      <c r="S1170" s="227">
        <f t="shared" si="432"/>
        <v>14.07</v>
      </c>
      <c r="T1170" s="203" t="s">
        <v>48</v>
      </c>
      <c r="U1170" s="183" t="str">
        <f t="shared" si="430"/>
        <v>14.07 Hrs</v>
      </c>
    </row>
    <row r="1171" spans="3:21" s="172" customFormat="1" ht="20.25" customHeight="1">
      <c r="C1171" s="185"/>
      <c r="D1171" s="190">
        <f t="shared" si="467"/>
        <v>1161</v>
      </c>
      <c r="E1171" s="194" t="s">
        <v>550</v>
      </c>
      <c r="F1171" s="198">
        <f t="shared" si="471"/>
        <v>1160</v>
      </c>
      <c r="G1171" s="193" t="s">
        <v>61</v>
      </c>
      <c r="H1171" s="193"/>
      <c r="I1171" s="211">
        <v>18</v>
      </c>
      <c r="J1171" s="198" t="str">
        <f t="shared" si="472"/>
        <v>1664 mm id</v>
      </c>
      <c r="K1171" s="221">
        <v>1</v>
      </c>
      <c r="L1171" s="195" t="s">
        <v>81</v>
      </c>
      <c r="M1171" s="214">
        <f t="shared" si="473"/>
        <v>5.2282879999999992</v>
      </c>
      <c r="N1171" s="195" t="s">
        <v>249</v>
      </c>
      <c r="O1171" s="233">
        <f>VLOOKUP(I1171,BM!$B$3:$Y$62,18,FALSE)</f>
        <v>1</v>
      </c>
      <c r="P1171" s="195" t="s">
        <v>112</v>
      </c>
      <c r="Q1171" s="227">
        <f t="shared" si="470"/>
        <v>5.2282879999999992</v>
      </c>
      <c r="R1171" s="226">
        <v>1</v>
      </c>
      <c r="S1171" s="227">
        <f t="shared" si="432"/>
        <v>6.23</v>
      </c>
      <c r="T1171" s="203" t="s">
        <v>48</v>
      </c>
      <c r="U1171" s="183" t="str">
        <f t="shared" si="430"/>
        <v>6.23 Hrs</v>
      </c>
    </row>
    <row r="1172" spans="3:21" s="172" customFormat="1" ht="20.25" customHeight="1">
      <c r="C1172" s="185"/>
      <c r="D1172" s="190">
        <f t="shared" si="467"/>
        <v>1162</v>
      </c>
      <c r="E1172" s="194" t="s">
        <v>551</v>
      </c>
      <c r="F1172" s="198">
        <f t="shared" si="471"/>
        <v>1161</v>
      </c>
      <c r="G1172" s="193" t="s">
        <v>115</v>
      </c>
      <c r="H1172" s="193"/>
      <c r="I1172" s="211">
        <v>6</v>
      </c>
      <c r="J1172" s="198" t="str">
        <f t="shared" si="472"/>
        <v>1664 mm id</v>
      </c>
      <c r="K1172" s="221">
        <v>1</v>
      </c>
      <c r="L1172" s="195" t="s">
        <v>81</v>
      </c>
      <c r="M1172" s="214">
        <f t="shared" si="473"/>
        <v>5.2282879999999992</v>
      </c>
      <c r="N1172" s="195" t="s">
        <v>249</v>
      </c>
      <c r="O1172" s="233">
        <f>VLOOKUP(I1172,BM!$B$3:$Y$62,17,FALSE)</f>
        <v>0.9</v>
      </c>
      <c r="P1172" s="195" t="s">
        <v>112</v>
      </c>
      <c r="Q1172" s="227">
        <f t="shared" si="470"/>
        <v>4.7054591999999991</v>
      </c>
      <c r="R1172" s="226">
        <v>1</v>
      </c>
      <c r="S1172" s="227">
        <f t="shared" si="432"/>
        <v>5.71</v>
      </c>
      <c r="T1172" s="203" t="s">
        <v>48</v>
      </c>
      <c r="U1172" s="183" t="str">
        <f t="shared" si="430"/>
        <v>5.71 Hrs</v>
      </c>
    </row>
    <row r="1173" spans="3:21" s="172" customFormat="1" ht="20.25" customHeight="1">
      <c r="C1173" s="185"/>
      <c r="D1173" s="190">
        <f t="shared" si="467"/>
        <v>1163</v>
      </c>
      <c r="E1173" s="194" t="s">
        <v>552</v>
      </c>
      <c r="F1173" s="198">
        <f t="shared" si="471"/>
        <v>1162</v>
      </c>
      <c r="G1173" s="193" t="s">
        <v>61</v>
      </c>
      <c r="H1173" s="193"/>
      <c r="I1173" s="211">
        <v>18</v>
      </c>
      <c r="J1173" s="198" t="str">
        <f t="shared" si="472"/>
        <v>1664 mm id</v>
      </c>
      <c r="K1173" s="221">
        <v>1</v>
      </c>
      <c r="L1173" s="195" t="s">
        <v>81</v>
      </c>
      <c r="M1173" s="214">
        <f t="shared" si="473"/>
        <v>5.2282879999999992</v>
      </c>
      <c r="N1173" s="195" t="s">
        <v>249</v>
      </c>
      <c r="O1173" s="233">
        <f>VLOOKUP(I1173,BM!$B$3:$Y$62,20,FALSE)</f>
        <v>0.5</v>
      </c>
      <c r="P1173" s="195" t="s">
        <v>112</v>
      </c>
      <c r="Q1173" s="227">
        <f t="shared" si="470"/>
        <v>2.6141439999999996</v>
      </c>
      <c r="R1173" s="226">
        <v>1</v>
      </c>
      <c r="S1173" s="227">
        <f t="shared" si="432"/>
        <v>3.61</v>
      </c>
      <c r="T1173" s="203" t="s">
        <v>48</v>
      </c>
      <c r="U1173" s="183" t="str">
        <f t="shared" si="430"/>
        <v>3.61 Hrs</v>
      </c>
    </row>
    <row r="1174" spans="3:21" s="172" customFormat="1" ht="20.25" customHeight="1">
      <c r="C1174" s="185">
        <f>D1174</f>
        <v>1164</v>
      </c>
      <c r="D1174" s="190">
        <f t="shared" si="467"/>
        <v>1164</v>
      </c>
      <c r="E1174" s="191" t="s">
        <v>553</v>
      </c>
      <c r="F1174" s="197">
        <f>C1168</f>
        <v>1158</v>
      </c>
      <c r="G1174" s="193"/>
      <c r="H1174" s="193"/>
      <c r="I1174" s="195"/>
      <c r="J1174" s="195"/>
      <c r="K1174" s="221"/>
      <c r="L1174" s="195"/>
      <c r="M1174" s="204"/>
      <c r="N1174" s="195"/>
      <c r="O1174" s="205"/>
      <c r="P1174" s="195"/>
      <c r="Q1174" s="227"/>
      <c r="R1174" s="226"/>
      <c r="S1174" s="227"/>
      <c r="T1174" s="203"/>
      <c r="U1174" s="183"/>
    </row>
    <row r="1175" spans="3:21" s="172" customFormat="1" ht="20.25" customHeight="1">
      <c r="C1175" s="185"/>
      <c r="D1175" s="190">
        <f t="shared" si="467"/>
        <v>1165</v>
      </c>
      <c r="E1175" s="194" t="s">
        <v>554</v>
      </c>
      <c r="F1175" s="198"/>
      <c r="G1175" s="193" t="s">
        <v>312</v>
      </c>
      <c r="H1175" s="193"/>
      <c r="I1175" s="220">
        <f>I1173</f>
        <v>18</v>
      </c>
      <c r="J1175" s="198" t="str">
        <f t="shared" ref="J1175:L1175" si="474">J1173</f>
        <v>1664 mm id</v>
      </c>
      <c r="K1175" s="212">
        <f t="shared" si="474"/>
        <v>1</v>
      </c>
      <c r="L1175" s="198" t="str">
        <f t="shared" si="474"/>
        <v>Nos</v>
      </c>
      <c r="M1175" s="195">
        <v>1</v>
      </c>
      <c r="N1175" s="195" t="s">
        <v>39</v>
      </c>
      <c r="O1175" s="205">
        <v>1</v>
      </c>
      <c r="P1175" s="195" t="s">
        <v>41</v>
      </c>
      <c r="Q1175" s="227">
        <f t="shared" ref="Q1175" si="475">M1175*O1175</f>
        <v>1</v>
      </c>
      <c r="R1175" s="198"/>
      <c r="S1175" s="227">
        <f t="shared" si="432"/>
        <v>1</v>
      </c>
      <c r="T1175" s="203" t="s">
        <v>42</v>
      </c>
      <c r="U1175" s="183" t="str">
        <f t="shared" si="430"/>
        <v>1 Days</v>
      </c>
    </row>
    <row r="1176" spans="3:21" s="172" customFormat="1" ht="20.25" customHeight="1">
      <c r="C1176" s="185">
        <f>D1176</f>
        <v>1166</v>
      </c>
      <c r="D1176" s="190">
        <f t="shared" si="467"/>
        <v>1166</v>
      </c>
      <c r="E1176" s="191" t="s">
        <v>555</v>
      </c>
      <c r="F1176" s="197">
        <f>D1174</f>
        <v>1164</v>
      </c>
      <c r="G1176" s="193"/>
      <c r="H1176" s="193"/>
      <c r="I1176" s="195"/>
      <c r="J1176" s="195"/>
      <c r="K1176" s="221"/>
      <c r="L1176" s="195"/>
      <c r="M1176" s="204"/>
      <c r="N1176" s="195"/>
      <c r="O1176" s="205"/>
      <c r="P1176" s="195"/>
      <c r="Q1176" s="227"/>
      <c r="R1176" s="226"/>
      <c r="S1176" s="227"/>
      <c r="T1176" s="203"/>
      <c r="U1176" s="183"/>
    </row>
    <row r="1177" spans="3:21" s="172" customFormat="1" ht="20.25" customHeight="1">
      <c r="C1177" s="185"/>
      <c r="D1177" s="190">
        <f t="shared" si="467"/>
        <v>1167</v>
      </c>
      <c r="E1177" s="194" t="s">
        <v>556</v>
      </c>
      <c r="F1177" s="198"/>
      <c r="G1177" s="193" t="s">
        <v>44</v>
      </c>
      <c r="H1177" s="193"/>
      <c r="I1177" s="211">
        <v>20</v>
      </c>
      <c r="J1177" s="198" t="str">
        <f>J1175</f>
        <v>1664 mm id</v>
      </c>
      <c r="K1177" s="221">
        <v>1</v>
      </c>
      <c r="L1177" s="195" t="s">
        <v>81</v>
      </c>
      <c r="M1177" s="204">
        <v>1</v>
      </c>
      <c r="N1177" s="195" t="s">
        <v>81</v>
      </c>
      <c r="O1177" s="205">
        <v>3</v>
      </c>
      <c r="P1177" s="195" t="s">
        <v>112</v>
      </c>
      <c r="Q1177" s="227">
        <f t="shared" ref="Q1177:Q1178" si="476">M1177*O1177</f>
        <v>3</v>
      </c>
      <c r="R1177" s="226">
        <v>1</v>
      </c>
      <c r="S1177" s="227">
        <f t="shared" si="432"/>
        <v>4</v>
      </c>
      <c r="T1177" s="203" t="s">
        <v>48</v>
      </c>
      <c r="U1177" s="183" t="str">
        <f t="shared" si="430"/>
        <v>4 Hrs</v>
      </c>
    </row>
    <row r="1178" spans="3:21" s="172" customFormat="1" ht="20.25" customHeight="1">
      <c r="C1178" s="185"/>
      <c r="D1178" s="190">
        <f t="shared" si="467"/>
        <v>1168</v>
      </c>
      <c r="E1178" s="194" t="s">
        <v>557</v>
      </c>
      <c r="F1178" s="198">
        <f t="shared" ref="F1178" si="477">D1177</f>
        <v>1167</v>
      </c>
      <c r="G1178" s="193" t="s">
        <v>44</v>
      </c>
      <c r="H1178" s="193"/>
      <c r="I1178" s="211">
        <v>20</v>
      </c>
      <c r="J1178" s="198" t="str">
        <f>J1177</f>
        <v>1664 mm id</v>
      </c>
      <c r="K1178" s="221">
        <v>1</v>
      </c>
      <c r="L1178" s="195" t="s">
        <v>81</v>
      </c>
      <c r="M1178" s="204">
        <v>1</v>
      </c>
      <c r="N1178" s="195" t="s">
        <v>81</v>
      </c>
      <c r="O1178" s="205">
        <v>1</v>
      </c>
      <c r="P1178" s="195" t="s">
        <v>112</v>
      </c>
      <c r="Q1178" s="227">
        <f t="shared" si="476"/>
        <v>1</v>
      </c>
      <c r="R1178" s="226">
        <v>1</v>
      </c>
      <c r="S1178" s="227">
        <f t="shared" si="432"/>
        <v>2</v>
      </c>
      <c r="T1178" s="203" t="s">
        <v>48</v>
      </c>
      <c r="U1178" s="183" t="str">
        <f t="shared" si="430"/>
        <v>2 Hrs</v>
      </c>
    </row>
    <row r="1179" spans="3:21" s="172" customFormat="1" ht="20.25" customHeight="1">
      <c r="C1179" s="185">
        <f>D1179</f>
        <v>1169</v>
      </c>
      <c r="D1179" s="190">
        <f t="shared" si="467"/>
        <v>1169</v>
      </c>
      <c r="E1179" s="191" t="s">
        <v>558</v>
      </c>
      <c r="F1179" s="197">
        <f>D1176</f>
        <v>1166</v>
      </c>
      <c r="G1179" s="193"/>
      <c r="H1179" s="193"/>
      <c r="I1179" s="195"/>
      <c r="J1179" s="195"/>
      <c r="K1179" s="221"/>
      <c r="L1179" s="195"/>
      <c r="M1179" s="204"/>
      <c r="N1179" s="195"/>
      <c r="O1179" s="205"/>
      <c r="P1179" s="195"/>
      <c r="Q1179" s="227"/>
      <c r="R1179" s="226"/>
      <c r="S1179" s="227"/>
      <c r="T1179" s="203"/>
      <c r="U1179" s="183"/>
    </row>
    <row r="1180" spans="3:21" s="172" customFormat="1" ht="20.25" customHeight="1">
      <c r="C1180" s="185"/>
      <c r="D1180" s="190">
        <f t="shared" si="467"/>
        <v>1170</v>
      </c>
      <c r="E1180" s="194" t="s">
        <v>559</v>
      </c>
      <c r="F1180" s="198"/>
      <c r="G1180" s="193" t="s">
        <v>52</v>
      </c>
      <c r="H1180" s="193"/>
      <c r="I1180" s="195"/>
      <c r="J1180" s="221" t="s">
        <v>560</v>
      </c>
      <c r="K1180" s="221">
        <v>1</v>
      </c>
      <c r="L1180" s="195" t="s">
        <v>39</v>
      </c>
      <c r="M1180" s="204">
        <v>1</v>
      </c>
      <c r="N1180" s="195" t="s">
        <v>81</v>
      </c>
      <c r="O1180" s="205">
        <v>3</v>
      </c>
      <c r="P1180" s="195" t="s">
        <v>112</v>
      </c>
      <c r="Q1180" s="227">
        <f t="shared" ref="Q1180:Q1181" si="478">M1180*O1180</f>
        <v>3</v>
      </c>
      <c r="R1180" s="226">
        <v>1</v>
      </c>
      <c r="S1180" s="227">
        <f t="shared" si="432"/>
        <v>4</v>
      </c>
      <c r="T1180" s="203" t="s">
        <v>48</v>
      </c>
      <c r="U1180" s="183" t="str">
        <f t="shared" ref="U1180:U1243" si="479">CONCATENATE(S1180," ",T1180)</f>
        <v>4 Hrs</v>
      </c>
    </row>
    <row r="1181" spans="3:21" s="172" customFormat="1" ht="20.25" customHeight="1">
      <c r="C1181" s="185"/>
      <c r="D1181" s="190">
        <f t="shared" si="467"/>
        <v>1171</v>
      </c>
      <c r="E1181" s="194" t="s">
        <v>559</v>
      </c>
      <c r="F1181" s="198">
        <f t="shared" ref="F1181" si="480">D1180</f>
        <v>1170</v>
      </c>
      <c r="G1181" s="193" t="s">
        <v>52</v>
      </c>
      <c r="H1181" s="193"/>
      <c r="I1181" s="195"/>
      <c r="J1181" s="221" t="s">
        <v>560</v>
      </c>
      <c r="K1181" s="221">
        <v>1</v>
      </c>
      <c r="L1181" s="195" t="s">
        <v>39</v>
      </c>
      <c r="M1181" s="204">
        <v>1</v>
      </c>
      <c r="N1181" s="195" t="s">
        <v>81</v>
      </c>
      <c r="O1181" s="205">
        <v>3</v>
      </c>
      <c r="P1181" s="195" t="s">
        <v>112</v>
      </c>
      <c r="Q1181" s="227">
        <f t="shared" si="478"/>
        <v>3</v>
      </c>
      <c r="R1181" s="226">
        <v>1</v>
      </c>
      <c r="S1181" s="227">
        <f t="shared" ref="S1181:S1244" si="481">ROUND(Q1181+R1181,2)</f>
        <v>4</v>
      </c>
      <c r="T1181" s="203" t="s">
        <v>48</v>
      </c>
      <c r="U1181" s="183" t="str">
        <f t="shared" si="479"/>
        <v>4 Hrs</v>
      </c>
    </row>
    <row r="1182" spans="3:21" s="172" customFormat="1" ht="20.25" customHeight="1">
      <c r="C1182" s="185">
        <f>D1182</f>
        <v>1172</v>
      </c>
      <c r="D1182" s="190">
        <f t="shared" si="467"/>
        <v>1172</v>
      </c>
      <c r="E1182" s="191" t="s">
        <v>561</v>
      </c>
      <c r="F1182" s="197">
        <f>D1179</f>
        <v>1169</v>
      </c>
      <c r="G1182" s="193"/>
      <c r="H1182" s="193"/>
      <c r="I1182" s="195"/>
      <c r="J1182" s="195"/>
      <c r="K1182" s="221"/>
      <c r="L1182" s="195"/>
      <c r="M1182" s="204"/>
      <c r="N1182" s="195"/>
      <c r="O1182" s="205"/>
      <c r="P1182" s="195"/>
      <c r="Q1182" s="227"/>
      <c r="R1182" s="226"/>
      <c r="S1182" s="227"/>
      <c r="T1182" s="203"/>
      <c r="U1182" s="183"/>
    </row>
    <row r="1183" spans="3:21" s="172" customFormat="1" ht="20.25" customHeight="1">
      <c r="C1183" s="185"/>
      <c r="D1183" s="190">
        <f t="shared" si="467"/>
        <v>1173</v>
      </c>
      <c r="E1183" s="194" t="s">
        <v>559</v>
      </c>
      <c r="F1183" s="198"/>
      <c r="G1183" s="193" t="s">
        <v>121</v>
      </c>
      <c r="H1183" s="193"/>
      <c r="I1183" s="195"/>
      <c r="J1183" s="221" t="s">
        <v>560</v>
      </c>
      <c r="K1183" s="221">
        <v>1</v>
      </c>
      <c r="L1183" s="195" t="s">
        <v>39</v>
      </c>
      <c r="M1183" s="204">
        <v>1</v>
      </c>
      <c r="N1183" s="195" t="s">
        <v>81</v>
      </c>
      <c r="O1183" s="205">
        <v>2</v>
      </c>
      <c r="P1183" s="195" t="s">
        <v>112</v>
      </c>
      <c r="Q1183" s="227">
        <f t="shared" ref="Q1183:Q1184" si="482">M1183*O1183</f>
        <v>2</v>
      </c>
      <c r="R1183" s="226">
        <v>1</v>
      </c>
      <c r="S1183" s="227">
        <f t="shared" si="481"/>
        <v>3</v>
      </c>
      <c r="T1183" s="203" t="s">
        <v>48</v>
      </c>
      <c r="U1183" s="183" t="str">
        <f t="shared" si="479"/>
        <v>3 Hrs</v>
      </c>
    </row>
    <row r="1184" spans="3:21" s="172" customFormat="1" ht="20.25" customHeight="1">
      <c r="C1184" s="185"/>
      <c r="D1184" s="190">
        <f t="shared" si="467"/>
        <v>1174</v>
      </c>
      <c r="E1184" s="194" t="s">
        <v>559</v>
      </c>
      <c r="F1184" s="198">
        <f t="shared" ref="F1184" si="483">D1183</f>
        <v>1173</v>
      </c>
      <c r="G1184" s="193" t="s">
        <v>121</v>
      </c>
      <c r="H1184" s="193"/>
      <c r="I1184" s="195"/>
      <c r="J1184" s="221" t="s">
        <v>560</v>
      </c>
      <c r="K1184" s="221">
        <v>1</v>
      </c>
      <c r="L1184" s="195" t="s">
        <v>39</v>
      </c>
      <c r="M1184" s="204">
        <v>1</v>
      </c>
      <c r="N1184" s="195" t="s">
        <v>81</v>
      </c>
      <c r="O1184" s="205">
        <v>2</v>
      </c>
      <c r="P1184" s="195" t="s">
        <v>112</v>
      </c>
      <c r="Q1184" s="227">
        <f t="shared" si="482"/>
        <v>2</v>
      </c>
      <c r="R1184" s="226">
        <v>1</v>
      </c>
      <c r="S1184" s="227">
        <f t="shared" si="481"/>
        <v>3</v>
      </c>
      <c r="T1184" s="203" t="s">
        <v>48</v>
      </c>
      <c r="U1184" s="183" t="str">
        <f t="shared" si="479"/>
        <v>3 Hrs</v>
      </c>
    </row>
    <row r="1185" spans="3:21" s="172" customFormat="1" ht="20.25" customHeight="1">
      <c r="C1185" s="185">
        <f>D1185</f>
        <v>1175</v>
      </c>
      <c r="D1185" s="190">
        <f t="shared" si="467"/>
        <v>1175</v>
      </c>
      <c r="E1185" s="191" t="s">
        <v>562</v>
      </c>
      <c r="F1185" s="197">
        <f>D1182</f>
        <v>1172</v>
      </c>
      <c r="G1185" s="193"/>
      <c r="H1185" s="193"/>
      <c r="I1185" s="195"/>
      <c r="J1185" s="195"/>
      <c r="K1185" s="221"/>
      <c r="L1185" s="195"/>
      <c r="M1185" s="204"/>
      <c r="N1185" s="195"/>
      <c r="O1185" s="205"/>
      <c r="P1185" s="195"/>
      <c r="Q1185" s="227"/>
      <c r="R1185" s="226"/>
      <c r="S1185" s="227"/>
      <c r="T1185" s="203"/>
      <c r="U1185" s="183"/>
    </row>
    <row r="1186" spans="3:21" s="172" customFormat="1" ht="20.25" customHeight="1">
      <c r="C1186" s="185"/>
      <c r="D1186" s="190">
        <f t="shared" si="467"/>
        <v>1176</v>
      </c>
      <c r="E1186" s="194" t="s">
        <v>563</v>
      </c>
      <c r="F1186" s="198"/>
      <c r="G1186" s="193" t="s">
        <v>111</v>
      </c>
      <c r="H1186" s="193"/>
      <c r="I1186" s="195"/>
      <c r="J1186" s="221" t="s">
        <v>560</v>
      </c>
      <c r="K1186" s="221">
        <v>1</v>
      </c>
      <c r="L1186" s="195" t="s">
        <v>564</v>
      </c>
      <c r="M1186" s="204">
        <v>1</v>
      </c>
      <c r="N1186" s="195" t="s">
        <v>81</v>
      </c>
      <c r="O1186" s="233" t="e">
        <f>VLOOKUP(J1186,BM!$B$3:$Y$62,11,FALSE)</f>
        <v>#N/A</v>
      </c>
      <c r="P1186" s="195" t="s">
        <v>112</v>
      </c>
      <c r="Q1186" s="227" t="e">
        <f t="shared" ref="Q1186:Q1187" si="484">M1186*O1186</f>
        <v>#N/A</v>
      </c>
      <c r="R1186" s="226">
        <v>1</v>
      </c>
      <c r="S1186" s="227" t="e">
        <f t="shared" si="481"/>
        <v>#N/A</v>
      </c>
      <c r="T1186" s="203" t="s">
        <v>48</v>
      </c>
      <c r="U1186" s="183" t="e">
        <f t="shared" si="479"/>
        <v>#N/A</v>
      </c>
    </row>
    <row r="1187" spans="3:21" s="172" customFormat="1" ht="20.25" customHeight="1">
      <c r="C1187" s="185"/>
      <c r="D1187" s="190">
        <f t="shared" si="467"/>
        <v>1177</v>
      </c>
      <c r="E1187" s="194" t="s">
        <v>565</v>
      </c>
      <c r="F1187" s="198">
        <f t="shared" ref="F1187" si="485">D1186</f>
        <v>1176</v>
      </c>
      <c r="G1187" s="193" t="s">
        <v>111</v>
      </c>
      <c r="H1187" s="193"/>
      <c r="I1187" s="195"/>
      <c r="J1187" s="212" t="str">
        <f>J1186</f>
        <v>40NB</v>
      </c>
      <c r="K1187" s="221">
        <v>1</v>
      </c>
      <c r="L1187" s="195" t="s">
        <v>564</v>
      </c>
      <c r="M1187" s="204">
        <v>1</v>
      </c>
      <c r="N1187" s="195" t="s">
        <v>81</v>
      </c>
      <c r="O1187" s="233" t="e">
        <f>VLOOKUP(J1187,BM!$B$3:$Y$62,11,FALSE)</f>
        <v>#N/A</v>
      </c>
      <c r="P1187" s="195" t="s">
        <v>112</v>
      </c>
      <c r="Q1187" s="227" t="e">
        <f t="shared" si="484"/>
        <v>#N/A</v>
      </c>
      <c r="R1187" s="226">
        <v>1</v>
      </c>
      <c r="S1187" s="227" t="e">
        <f t="shared" si="481"/>
        <v>#N/A</v>
      </c>
      <c r="T1187" s="203" t="s">
        <v>48</v>
      </c>
      <c r="U1187" s="183" t="e">
        <f t="shared" si="479"/>
        <v>#N/A</v>
      </c>
    </row>
    <row r="1188" spans="3:21" s="172" customFormat="1" ht="20.25" customHeight="1">
      <c r="C1188" s="185">
        <f>D1188</f>
        <v>1178</v>
      </c>
      <c r="D1188" s="190">
        <f t="shared" si="467"/>
        <v>1178</v>
      </c>
      <c r="E1188" s="191" t="s">
        <v>566</v>
      </c>
      <c r="F1188" s="197">
        <f>D1185</f>
        <v>1175</v>
      </c>
      <c r="G1188" s="193"/>
      <c r="H1188" s="193"/>
      <c r="I1188" s="195"/>
      <c r="J1188" s="195"/>
      <c r="K1188" s="221"/>
      <c r="L1188" s="195"/>
      <c r="M1188" s="204"/>
      <c r="N1188" s="195"/>
      <c r="O1188" s="205"/>
      <c r="P1188" s="195"/>
      <c r="Q1188" s="227"/>
      <c r="R1188" s="226"/>
      <c r="S1188" s="227"/>
      <c r="T1188" s="203"/>
      <c r="U1188" s="183"/>
    </row>
    <row r="1189" spans="3:21" s="172" customFormat="1" ht="20.25" customHeight="1">
      <c r="C1189" s="185"/>
      <c r="D1189" s="190">
        <f t="shared" si="467"/>
        <v>1179</v>
      </c>
      <c r="E1189" s="194" t="s">
        <v>567</v>
      </c>
      <c r="F1189" s="198"/>
      <c r="G1189" s="193" t="s">
        <v>568</v>
      </c>
      <c r="H1189" s="193"/>
      <c r="I1189" s="195"/>
      <c r="J1189" s="212" t="str">
        <f>J1187</f>
        <v>40NB</v>
      </c>
      <c r="K1189" s="221">
        <v>1</v>
      </c>
      <c r="L1189" s="195" t="s">
        <v>564</v>
      </c>
      <c r="M1189" s="204">
        <v>1</v>
      </c>
      <c r="N1189" s="195" t="s">
        <v>81</v>
      </c>
      <c r="O1189" s="205">
        <v>0.5</v>
      </c>
      <c r="P1189" s="195" t="s">
        <v>112</v>
      </c>
      <c r="Q1189" s="227">
        <f t="shared" ref="Q1189:Q1190" si="486">M1189*O1189</f>
        <v>0.5</v>
      </c>
      <c r="R1189" s="226">
        <v>1</v>
      </c>
      <c r="S1189" s="227">
        <f t="shared" si="481"/>
        <v>1.5</v>
      </c>
      <c r="T1189" s="203" t="s">
        <v>48</v>
      </c>
      <c r="U1189" s="183" t="str">
        <f t="shared" si="479"/>
        <v>1.5 Hrs</v>
      </c>
    </row>
    <row r="1190" spans="3:21" s="172" customFormat="1" ht="20.25" customHeight="1">
      <c r="C1190" s="185"/>
      <c r="D1190" s="190">
        <f t="shared" si="467"/>
        <v>1180</v>
      </c>
      <c r="E1190" s="194" t="s">
        <v>569</v>
      </c>
      <c r="F1190" s="198">
        <f t="shared" ref="F1190" si="487">D1189</f>
        <v>1179</v>
      </c>
      <c r="G1190" s="193" t="s">
        <v>568</v>
      </c>
      <c r="H1190" s="193"/>
      <c r="I1190" s="195"/>
      <c r="J1190" s="212" t="str">
        <f>J1187</f>
        <v>40NB</v>
      </c>
      <c r="K1190" s="221">
        <v>1</v>
      </c>
      <c r="L1190" s="195" t="s">
        <v>564</v>
      </c>
      <c r="M1190" s="204">
        <v>1</v>
      </c>
      <c r="N1190" s="195" t="s">
        <v>81</v>
      </c>
      <c r="O1190" s="205">
        <v>0.5</v>
      </c>
      <c r="P1190" s="195" t="s">
        <v>112</v>
      </c>
      <c r="Q1190" s="227">
        <f t="shared" si="486"/>
        <v>0.5</v>
      </c>
      <c r="R1190" s="226">
        <v>1</v>
      </c>
      <c r="S1190" s="227">
        <f t="shared" si="481"/>
        <v>1.5</v>
      </c>
      <c r="T1190" s="203" t="s">
        <v>48</v>
      </c>
      <c r="U1190" s="183" t="str">
        <f t="shared" si="479"/>
        <v>1.5 Hrs</v>
      </c>
    </row>
    <row r="1191" spans="3:21" s="172" customFormat="1" ht="20.25" customHeight="1">
      <c r="C1191" s="185">
        <f>D1191</f>
        <v>1181</v>
      </c>
      <c r="D1191" s="190">
        <f t="shared" si="467"/>
        <v>1181</v>
      </c>
      <c r="E1191" s="191" t="s">
        <v>570</v>
      </c>
      <c r="F1191" s="197">
        <f>D1188</f>
        <v>1178</v>
      </c>
      <c r="G1191" s="193"/>
      <c r="H1191" s="193"/>
      <c r="I1191" s="195"/>
      <c r="J1191" s="195"/>
      <c r="K1191" s="221"/>
      <c r="L1191" s="195"/>
      <c r="M1191" s="204"/>
      <c r="N1191" s="195"/>
      <c r="O1191" s="205"/>
      <c r="P1191" s="195"/>
      <c r="Q1191" s="227"/>
      <c r="R1191" s="226"/>
      <c r="S1191" s="227"/>
      <c r="T1191" s="203"/>
      <c r="U1191" s="183"/>
    </row>
    <row r="1192" spans="3:21" s="172" customFormat="1" ht="20.25" customHeight="1">
      <c r="C1192" s="185"/>
      <c r="D1192" s="190">
        <f t="shared" si="467"/>
        <v>1182</v>
      </c>
      <c r="E1192" s="194" t="s">
        <v>571</v>
      </c>
      <c r="F1192" s="198"/>
      <c r="G1192" s="193" t="s">
        <v>37</v>
      </c>
      <c r="H1192" s="193"/>
      <c r="I1192" s="211" t="s">
        <v>560</v>
      </c>
      <c r="J1192" s="195" t="str">
        <f>J1190</f>
        <v>40NB</v>
      </c>
      <c r="K1192" s="221">
        <v>1</v>
      </c>
      <c r="L1192" s="195" t="s">
        <v>81</v>
      </c>
      <c r="M1192" s="204">
        <v>1</v>
      </c>
      <c r="N1192" s="195" t="s">
        <v>81</v>
      </c>
      <c r="O1192" s="205">
        <v>0.5</v>
      </c>
      <c r="P1192" s="195" t="s">
        <v>112</v>
      </c>
      <c r="Q1192" s="227">
        <f t="shared" ref="Q1192:Q1197" si="488">M1192*O1192</f>
        <v>0.5</v>
      </c>
      <c r="R1192" s="226">
        <v>1</v>
      </c>
      <c r="S1192" s="227">
        <f t="shared" si="481"/>
        <v>1.5</v>
      </c>
      <c r="T1192" s="203" t="s">
        <v>48</v>
      </c>
      <c r="U1192" s="183" t="str">
        <f t="shared" si="479"/>
        <v>1.5 Hrs</v>
      </c>
    </row>
    <row r="1193" spans="3:21" s="172" customFormat="1" ht="20.25" customHeight="1">
      <c r="C1193" s="185"/>
      <c r="D1193" s="190">
        <f t="shared" si="467"/>
        <v>1183</v>
      </c>
      <c r="E1193" s="194" t="s">
        <v>572</v>
      </c>
      <c r="F1193" s="198">
        <f t="shared" ref="F1193:F1197" si="489">D1192</f>
        <v>1182</v>
      </c>
      <c r="G1193" s="193" t="s">
        <v>115</v>
      </c>
      <c r="H1193" s="193"/>
      <c r="I1193" s="211">
        <v>10</v>
      </c>
      <c r="J1193" s="212" t="s">
        <v>573</v>
      </c>
      <c r="K1193" s="221">
        <v>1</v>
      </c>
      <c r="L1193" s="195" t="s">
        <v>39</v>
      </c>
      <c r="M1193" s="214">
        <f t="shared" ref="M1193:M1194" si="490">LEFT(J1193,SEARCH(" ",J1193,1)-1)*K1193*3.142/1000</f>
        <v>0.23565</v>
      </c>
      <c r="N1193" s="195"/>
      <c r="O1193" s="233">
        <f>VLOOKUP(I1193,BM!$B$3:$Y$62,17,FALSE)</f>
        <v>1.88</v>
      </c>
      <c r="P1193" s="195" t="s">
        <v>112</v>
      </c>
      <c r="Q1193" s="227">
        <f t="shared" si="488"/>
        <v>0.44302199999999997</v>
      </c>
      <c r="R1193" s="226">
        <v>1</v>
      </c>
      <c r="S1193" s="227">
        <f t="shared" si="481"/>
        <v>1.44</v>
      </c>
      <c r="T1193" s="203" t="s">
        <v>48</v>
      </c>
      <c r="U1193" s="183" t="str">
        <f t="shared" si="479"/>
        <v>1.44 Hrs</v>
      </c>
    </row>
    <row r="1194" spans="3:21" s="172" customFormat="1" ht="20.25" customHeight="1">
      <c r="C1194" s="185"/>
      <c r="D1194" s="190">
        <f t="shared" si="467"/>
        <v>1184</v>
      </c>
      <c r="E1194" s="194" t="s">
        <v>574</v>
      </c>
      <c r="F1194" s="198">
        <f t="shared" si="489"/>
        <v>1183</v>
      </c>
      <c r="G1194" s="193" t="s">
        <v>115</v>
      </c>
      <c r="H1194" s="193"/>
      <c r="I1194" s="211">
        <v>10</v>
      </c>
      <c r="J1194" s="198" t="str">
        <f>J1193</f>
        <v>75 MM</v>
      </c>
      <c r="K1194" s="221">
        <v>1</v>
      </c>
      <c r="L1194" s="195" t="s">
        <v>39</v>
      </c>
      <c r="M1194" s="214">
        <f t="shared" si="490"/>
        <v>0.23565</v>
      </c>
      <c r="N1194" s="195"/>
      <c r="O1194" s="233">
        <f>VLOOKUP(I1194,BM!$B$3:$Y$62,17,FALSE)</f>
        <v>1.88</v>
      </c>
      <c r="P1194" s="195" t="s">
        <v>112</v>
      </c>
      <c r="Q1194" s="227">
        <f t="shared" si="488"/>
        <v>0.44302199999999997</v>
      </c>
      <c r="R1194" s="226">
        <v>1</v>
      </c>
      <c r="S1194" s="227">
        <f t="shared" si="481"/>
        <v>1.44</v>
      </c>
      <c r="T1194" s="203" t="s">
        <v>48</v>
      </c>
      <c r="U1194" s="183" t="str">
        <f t="shared" si="479"/>
        <v>1.44 Hrs</v>
      </c>
    </row>
    <row r="1195" spans="3:21" s="172" customFormat="1" ht="20.25" customHeight="1">
      <c r="C1195" s="185"/>
      <c r="D1195" s="190">
        <f t="shared" si="467"/>
        <v>1185</v>
      </c>
      <c r="E1195" s="194" t="s">
        <v>575</v>
      </c>
      <c r="F1195" s="198">
        <f t="shared" si="489"/>
        <v>1184</v>
      </c>
      <c r="G1195" s="193" t="s">
        <v>44</v>
      </c>
      <c r="H1195" s="193"/>
      <c r="I1195" s="195"/>
      <c r="J1195" s="198" t="str">
        <f>J1194</f>
        <v>75 MM</v>
      </c>
      <c r="K1195" s="221">
        <v>2</v>
      </c>
      <c r="L1195" s="195" t="s">
        <v>39</v>
      </c>
      <c r="M1195" s="204">
        <v>2</v>
      </c>
      <c r="N1195" s="195"/>
      <c r="O1195" s="205">
        <v>0.5</v>
      </c>
      <c r="P1195" s="195" t="s">
        <v>112</v>
      </c>
      <c r="Q1195" s="227">
        <f t="shared" si="488"/>
        <v>1</v>
      </c>
      <c r="R1195" s="226">
        <v>1</v>
      </c>
      <c r="S1195" s="227">
        <f t="shared" si="481"/>
        <v>2</v>
      </c>
      <c r="T1195" s="203" t="s">
        <v>48</v>
      </c>
      <c r="U1195" s="183" t="str">
        <f t="shared" si="479"/>
        <v>2 Hrs</v>
      </c>
    </row>
    <row r="1196" spans="3:21" s="172" customFormat="1" ht="20.25" customHeight="1">
      <c r="C1196" s="185"/>
      <c r="D1196" s="190">
        <f t="shared" si="467"/>
        <v>1186</v>
      </c>
      <c r="E1196" s="194" t="s">
        <v>576</v>
      </c>
      <c r="F1196" s="198">
        <f t="shared" si="489"/>
        <v>1185</v>
      </c>
      <c r="G1196" s="193" t="s">
        <v>115</v>
      </c>
      <c r="H1196" s="193"/>
      <c r="I1196" s="211">
        <v>10</v>
      </c>
      <c r="J1196" s="198" t="str">
        <f>J1195</f>
        <v>75 MM</v>
      </c>
      <c r="K1196" s="221">
        <v>1</v>
      </c>
      <c r="L1196" s="195" t="s">
        <v>39</v>
      </c>
      <c r="M1196" s="214">
        <f t="shared" ref="M1196:M1197" si="491">LEFT(J1196,SEARCH(" ",J1196,1)-1)*K1196*3.142/1000</f>
        <v>0.23565</v>
      </c>
      <c r="N1196" s="195"/>
      <c r="O1196" s="233">
        <f>VLOOKUP(I1196,BM!$B$3:$Y$62,17,FALSE)</f>
        <v>1.88</v>
      </c>
      <c r="P1196" s="195" t="s">
        <v>112</v>
      </c>
      <c r="Q1196" s="227">
        <f t="shared" si="488"/>
        <v>0.44302199999999997</v>
      </c>
      <c r="R1196" s="226">
        <v>1</v>
      </c>
      <c r="S1196" s="227">
        <f t="shared" si="481"/>
        <v>1.44</v>
      </c>
      <c r="T1196" s="203" t="s">
        <v>48</v>
      </c>
      <c r="U1196" s="183" t="str">
        <f t="shared" si="479"/>
        <v>1.44 Hrs</v>
      </c>
    </row>
    <row r="1197" spans="3:21" s="172" customFormat="1" ht="20.25" customHeight="1">
      <c r="C1197" s="185"/>
      <c r="D1197" s="190">
        <f t="shared" si="467"/>
        <v>1187</v>
      </c>
      <c r="E1197" s="194" t="s">
        <v>577</v>
      </c>
      <c r="F1197" s="198">
        <f t="shared" si="489"/>
        <v>1186</v>
      </c>
      <c r="G1197" s="193" t="s">
        <v>115</v>
      </c>
      <c r="H1197" s="193"/>
      <c r="I1197" s="211">
        <v>10</v>
      </c>
      <c r="J1197" s="198" t="str">
        <f>J1196</f>
        <v>75 MM</v>
      </c>
      <c r="K1197" s="221">
        <v>1</v>
      </c>
      <c r="L1197" s="195" t="s">
        <v>39</v>
      </c>
      <c r="M1197" s="214">
        <f t="shared" si="491"/>
        <v>0.23565</v>
      </c>
      <c r="N1197" s="195"/>
      <c r="O1197" s="233">
        <f>VLOOKUP(I1197,BM!$B$3:$Y$62,17,FALSE)</f>
        <v>1.88</v>
      </c>
      <c r="P1197" s="195" t="s">
        <v>112</v>
      </c>
      <c r="Q1197" s="227">
        <f t="shared" si="488"/>
        <v>0.44302199999999997</v>
      </c>
      <c r="R1197" s="226">
        <v>1</v>
      </c>
      <c r="S1197" s="227">
        <f t="shared" si="481"/>
        <v>1.44</v>
      </c>
      <c r="T1197" s="203" t="s">
        <v>48</v>
      </c>
      <c r="U1197" s="183" t="str">
        <f t="shared" si="479"/>
        <v>1.44 Hrs</v>
      </c>
    </row>
    <row r="1198" spans="3:21" s="172" customFormat="1" ht="20.25" customHeight="1">
      <c r="C1198" s="185">
        <f>D1198</f>
        <v>1188</v>
      </c>
      <c r="D1198" s="190">
        <f t="shared" si="467"/>
        <v>1188</v>
      </c>
      <c r="E1198" s="191" t="s">
        <v>578</v>
      </c>
      <c r="F1198" s="197">
        <f>D1191</f>
        <v>1181</v>
      </c>
      <c r="G1198" s="193"/>
      <c r="H1198" s="193"/>
      <c r="I1198" s="195"/>
      <c r="J1198" s="195"/>
      <c r="K1198" s="221"/>
      <c r="L1198" s="195"/>
      <c r="M1198" s="204"/>
      <c r="N1198" s="195"/>
      <c r="O1198" s="205"/>
      <c r="P1198" s="195"/>
      <c r="Q1198" s="227"/>
      <c r="R1198" s="226"/>
      <c r="S1198" s="227"/>
      <c r="T1198" s="203"/>
      <c r="U1198" s="183"/>
    </row>
    <row r="1199" spans="3:21" s="172" customFormat="1" ht="20.25" customHeight="1">
      <c r="C1199" s="185"/>
      <c r="D1199" s="190">
        <f t="shared" si="467"/>
        <v>1189</v>
      </c>
      <c r="E1199" s="194" t="s">
        <v>579</v>
      </c>
      <c r="F1199" s="198"/>
      <c r="G1199" s="193" t="s">
        <v>149</v>
      </c>
      <c r="H1199" s="193"/>
      <c r="I1199" s="211">
        <v>20</v>
      </c>
      <c r="J1199" s="212" t="str">
        <f>J1190</f>
        <v>40NB</v>
      </c>
      <c r="K1199" s="221">
        <v>1</v>
      </c>
      <c r="L1199" s="195" t="s">
        <v>39</v>
      </c>
      <c r="M1199" s="204">
        <v>1</v>
      </c>
      <c r="N1199" s="195" t="s">
        <v>564</v>
      </c>
      <c r="O1199" s="233">
        <f>VLOOKUP(I1199,BM!$B$3:$Y$62,23,FALSE)</f>
        <v>8</v>
      </c>
      <c r="P1199" s="195" t="s">
        <v>112</v>
      </c>
      <c r="Q1199" s="227">
        <f t="shared" ref="Q1199:Q1200" si="492">M1199*O1199</f>
        <v>8</v>
      </c>
      <c r="R1199" s="226">
        <v>1</v>
      </c>
      <c r="S1199" s="227">
        <f t="shared" si="481"/>
        <v>9</v>
      </c>
      <c r="T1199" s="203" t="s">
        <v>48</v>
      </c>
      <c r="U1199" s="183" t="str">
        <f t="shared" si="479"/>
        <v>9 Hrs</v>
      </c>
    </row>
    <row r="1200" spans="3:21" s="172" customFormat="1" ht="20.25" customHeight="1">
      <c r="C1200" s="185"/>
      <c r="D1200" s="190">
        <f t="shared" si="467"/>
        <v>1190</v>
      </c>
      <c r="E1200" s="194" t="s">
        <v>580</v>
      </c>
      <c r="F1200" s="198">
        <f t="shared" ref="F1200" si="493">D1199</f>
        <v>1189</v>
      </c>
      <c r="G1200" s="193" t="s">
        <v>63</v>
      </c>
      <c r="H1200" s="193"/>
      <c r="I1200" s="211" t="s">
        <v>581</v>
      </c>
      <c r="J1200" s="198" t="str">
        <f>J1190</f>
        <v>40NB</v>
      </c>
      <c r="K1200" s="221">
        <v>1</v>
      </c>
      <c r="L1200" s="195" t="s">
        <v>485</v>
      </c>
      <c r="M1200" s="204">
        <v>1</v>
      </c>
      <c r="N1200" s="195" t="s">
        <v>39</v>
      </c>
      <c r="O1200" s="205">
        <v>1</v>
      </c>
      <c r="P1200" s="195" t="s">
        <v>41</v>
      </c>
      <c r="Q1200" s="227">
        <f t="shared" si="492"/>
        <v>1</v>
      </c>
      <c r="R1200" s="226"/>
      <c r="S1200" s="227">
        <f t="shared" si="481"/>
        <v>1</v>
      </c>
      <c r="T1200" s="203" t="s">
        <v>48</v>
      </c>
      <c r="U1200" s="183" t="str">
        <f t="shared" si="479"/>
        <v>1 Hrs</v>
      </c>
    </row>
    <row r="1201" spans="3:21" s="172" customFormat="1" ht="20.25" customHeight="1">
      <c r="C1201" s="185">
        <f t="shared" ref="C1201:C1202" si="494">D1201</f>
        <v>1191</v>
      </c>
      <c r="D1201" s="190">
        <f t="shared" si="467"/>
        <v>1191</v>
      </c>
      <c r="E1201" s="234" t="s">
        <v>582</v>
      </c>
      <c r="F1201" s="197"/>
      <c r="G1201" s="193"/>
      <c r="H1201" s="193"/>
      <c r="I1201" s="195"/>
      <c r="J1201" s="195"/>
      <c r="K1201" s="221"/>
      <c r="L1201" s="195"/>
      <c r="M1201" s="204"/>
      <c r="N1201" s="195"/>
      <c r="O1201" s="205"/>
      <c r="P1201" s="195"/>
      <c r="Q1201" s="227"/>
      <c r="R1201" s="226"/>
      <c r="S1201" s="227"/>
      <c r="T1201" s="203"/>
      <c r="U1201" s="183"/>
    </row>
    <row r="1202" spans="3:21" s="172" customFormat="1" ht="20.25" customHeight="1">
      <c r="C1202" s="185">
        <f t="shared" si="494"/>
        <v>1192</v>
      </c>
      <c r="D1202" s="190">
        <f t="shared" si="467"/>
        <v>1192</v>
      </c>
      <c r="E1202" s="191" t="s">
        <v>583</v>
      </c>
      <c r="F1202" s="197">
        <f>13</f>
        <v>13</v>
      </c>
      <c r="G1202" s="193"/>
      <c r="H1202" s="193"/>
      <c r="I1202" s="195"/>
      <c r="J1202" s="195"/>
      <c r="K1202" s="221"/>
      <c r="L1202" s="195"/>
      <c r="M1202" s="204"/>
      <c r="N1202" s="195"/>
      <c r="O1202" s="205"/>
      <c r="P1202" s="195"/>
      <c r="Q1202" s="227"/>
      <c r="R1202" s="226"/>
      <c r="S1202" s="227"/>
      <c r="T1202" s="203"/>
      <c r="U1202" s="183"/>
    </row>
    <row r="1203" spans="3:21" s="172" customFormat="1" ht="20.25" customHeight="1">
      <c r="C1203" s="185"/>
      <c r="D1203" s="190">
        <f t="shared" si="467"/>
        <v>1193</v>
      </c>
      <c r="E1203" s="194" t="s">
        <v>584</v>
      </c>
      <c r="F1203" s="198"/>
      <c r="G1203" s="193" t="s">
        <v>37</v>
      </c>
      <c r="H1203" s="193"/>
      <c r="I1203" s="195"/>
      <c r="J1203" s="195"/>
      <c r="K1203" s="221">
        <v>1</v>
      </c>
      <c r="L1203" s="195" t="s">
        <v>39</v>
      </c>
      <c r="M1203" s="204">
        <v>1</v>
      </c>
      <c r="N1203" s="195"/>
      <c r="O1203" s="205">
        <v>4</v>
      </c>
      <c r="P1203" s="195" t="s">
        <v>41</v>
      </c>
      <c r="Q1203" s="227">
        <f t="shared" ref="Q1203:Q1207" si="495">M1203*O1203</f>
        <v>4</v>
      </c>
      <c r="R1203" s="226"/>
      <c r="S1203" s="227">
        <f t="shared" si="481"/>
        <v>4</v>
      </c>
      <c r="T1203" s="203" t="s">
        <v>42</v>
      </c>
      <c r="U1203" s="183" t="str">
        <f t="shared" si="479"/>
        <v>4 Days</v>
      </c>
    </row>
    <row r="1204" spans="3:21" s="172" customFormat="1" ht="20.25" customHeight="1">
      <c r="C1204" s="185"/>
      <c r="D1204" s="190">
        <f t="shared" si="467"/>
        <v>1194</v>
      </c>
      <c r="E1204" s="194" t="s">
        <v>585</v>
      </c>
      <c r="F1204" s="198">
        <f t="shared" ref="F1204:F1207" si="496">D1203</f>
        <v>1193</v>
      </c>
      <c r="G1204" s="193" t="s">
        <v>44</v>
      </c>
      <c r="H1204" s="193"/>
      <c r="I1204" s="211">
        <v>50</v>
      </c>
      <c r="J1204" s="221" t="s">
        <v>586</v>
      </c>
      <c r="K1204" s="221">
        <v>1</v>
      </c>
      <c r="L1204" s="195" t="s">
        <v>81</v>
      </c>
      <c r="M1204" s="214">
        <f>LEFT(J1204,SEARCH(" ",J1204,1)-1)*1.28*3.142/1000</f>
        <v>6.2337280000000002</v>
      </c>
      <c r="N1204" s="195" t="s">
        <v>139</v>
      </c>
      <c r="O1204" s="233">
        <f>VLOOKUP(I1204,BM!$B$3:$Y$62,2,FALSE)</f>
        <v>0.1</v>
      </c>
      <c r="P1204" s="195" t="s">
        <v>112</v>
      </c>
      <c r="Q1204" s="227">
        <f t="shared" si="495"/>
        <v>0.62337280000000006</v>
      </c>
      <c r="R1204" s="226">
        <v>1</v>
      </c>
      <c r="S1204" s="227">
        <f t="shared" si="481"/>
        <v>1.62</v>
      </c>
      <c r="T1204" s="203" t="s">
        <v>48</v>
      </c>
      <c r="U1204" s="183" t="str">
        <f t="shared" si="479"/>
        <v>1.62 Hrs</v>
      </c>
    </row>
    <row r="1205" spans="3:21" s="172" customFormat="1" ht="20.25" customHeight="1">
      <c r="C1205" s="185"/>
      <c r="D1205" s="190">
        <f t="shared" si="467"/>
        <v>1195</v>
      </c>
      <c r="E1205" s="194" t="s">
        <v>587</v>
      </c>
      <c r="F1205" s="198">
        <f t="shared" si="496"/>
        <v>1194</v>
      </c>
      <c r="G1205" s="193" t="s">
        <v>44</v>
      </c>
      <c r="H1205" s="193"/>
      <c r="I1205" s="220">
        <v>50</v>
      </c>
      <c r="J1205" s="221" t="s">
        <v>586</v>
      </c>
      <c r="K1205" s="221">
        <v>1</v>
      </c>
      <c r="L1205" s="195" t="s">
        <v>81</v>
      </c>
      <c r="M1205" s="222">
        <v>1</v>
      </c>
      <c r="N1205" s="195" t="s">
        <v>81</v>
      </c>
      <c r="O1205" s="233">
        <v>1</v>
      </c>
      <c r="P1205" s="195" t="s">
        <v>162</v>
      </c>
      <c r="Q1205" s="227">
        <f t="shared" si="495"/>
        <v>1</v>
      </c>
      <c r="R1205" s="226">
        <v>1</v>
      </c>
      <c r="S1205" s="227">
        <f t="shared" si="481"/>
        <v>2</v>
      </c>
      <c r="T1205" s="203" t="s">
        <v>48</v>
      </c>
      <c r="U1205" s="183" t="str">
        <f t="shared" si="479"/>
        <v>2 Hrs</v>
      </c>
    </row>
    <row r="1206" spans="3:21" s="172" customFormat="1" ht="20.25" customHeight="1">
      <c r="C1206" s="185"/>
      <c r="D1206" s="190">
        <f t="shared" si="467"/>
        <v>1196</v>
      </c>
      <c r="E1206" s="194" t="s">
        <v>588</v>
      </c>
      <c r="F1206" s="198">
        <f t="shared" si="496"/>
        <v>1195</v>
      </c>
      <c r="G1206" s="193" t="s">
        <v>52</v>
      </c>
      <c r="H1206" s="193"/>
      <c r="I1206" s="220">
        <v>50</v>
      </c>
      <c r="J1206" s="221" t="s">
        <v>586</v>
      </c>
      <c r="K1206" s="221">
        <v>1</v>
      </c>
      <c r="L1206" s="195" t="s">
        <v>81</v>
      </c>
      <c r="M1206" s="214">
        <f>LEFT(J1206,SEARCH(" ",J1206,1)-1)*1.28*3.142/1000</f>
        <v>6.2337280000000002</v>
      </c>
      <c r="N1206" s="195" t="s">
        <v>139</v>
      </c>
      <c r="O1206" s="233">
        <f>VLOOKUP(I1206,BM!$B$3:$Y$62,3,FALSE)</f>
        <v>0.25</v>
      </c>
      <c r="P1206" s="195" t="s">
        <v>112</v>
      </c>
      <c r="Q1206" s="227">
        <f t="shared" si="495"/>
        <v>1.558432</v>
      </c>
      <c r="R1206" s="226">
        <v>1</v>
      </c>
      <c r="S1206" s="227">
        <f t="shared" si="481"/>
        <v>2.56</v>
      </c>
      <c r="T1206" s="203" t="s">
        <v>48</v>
      </c>
      <c r="U1206" s="183" t="str">
        <f t="shared" si="479"/>
        <v>2.56 Hrs</v>
      </c>
    </row>
    <row r="1207" spans="3:21" s="172" customFormat="1" ht="20.25" customHeight="1">
      <c r="C1207" s="185"/>
      <c r="D1207" s="190">
        <f t="shared" si="467"/>
        <v>1197</v>
      </c>
      <c r="E1207" s="194" t="s">
        <v>589</v>
      </c>
      <c r="F1207" s="198">
        <f t="shared" si="496"/>
        <v>1196</v>
      </c>
      <c r="G1207" s="193" t="s">
        <v>61</v>
      </c>
      <c r="H1207" s="193"/>
      <c r="I1207" s="220">
        <f>I1204</f>
        <v>50</v>
      </c>
      <c r="J1207" s="221" t="s">
        <v>586</v>
      </c>
      <c r="K1207" s="221">
        <v>1</v>
      </c>
      <c r="L1207" s="195" t="s">
        <v>81</v>
      </c>
      <c r="M1207" s="214">
        <f>LEFT(J1207,SEARCH(" ",J1207,1)-1)*1.28*3.142/1000</f>
        <v>6.2337280000000002</v>
      </c>
      <c r="N1207" s="195" t="s">
        <v>139</v>
      </c>
      <c r="O1207" s="233">
        <f>VLOOKUP(I1207,BM!$B$3:$Y$62,6,FALSE)</f>
        <v>1</v>
      </c>
      <c r="P1207" s="195" t="s">
        <v>112</v>
      </c>
      <c r="Q1207" s="227">
        <f t="shared" si="495"/>
        <v>6.2337280000000002</v>
      </c>
      <c r="R1207" s="226">
        <v>1</v>
      </c>
      <c r="S1207" s="227">
        <f t="shared" si="481"/>
        <v>7.23</v>
      </c>
      <c r="T1207" s="203" t="s">
        <v>48</v>
      </c>
      <c r="U1207" s="183" t="str">
        <f t="shared" si="479"/>
        <v>7.23 Hrs</v>
      </c>
    </row>
    <row r="1208" spans="3:21" s="172" customFormat="1" ht="20.25" customHeight="1">
      <c r="C1208" s="185">
        <f>D1208</f>
        <v>1198</v>
      </c>
      <c r="D1208" s="190">
        <f t="shared" si="467"/>
        <v>1198</v>
      </c>
      <c r="E1208" s="191" t="s">
        <v>590</v>
      </c>
      <c r="F1208" s="197">
        <f>D1202</f>
        <v>1192</v>
      </c>
      <c r="G1208" s="193"/>
      <c r="H1208" s="193"/>
      <c r="I1208" s="195"/>
      <c r="J1208" s="195"/>
      <c r="K1208" s="221"/>
      <c r="L1208" s="195"/>
      <c r="M1208" s="204"/>
      <c r="N1208" s="195"/>
      <c r="O1208" s="205"/>
      <c r="P1208" s="195"/>
      <c r="Q1208" s="227"/>
      <c r="R1208" s="226"/>
      <c r="S1208" s="227"/>
      <c r="T1208" s="203"/>
      <c r="U1208" s="183"/>
    </row>
    <row r="1209" spans="3:21" s="172" customFormat="1" ht="20.25" customHeight="1">
      <c r="C1209" s="185"/>
      <c r="D1209" s="190">
        <f t="shared" si="467"/>
        <v>1199</v>
      </c>
      <c r="E1209" s="194" t="s">
        <v>591</v>
      </c>
      <c r="F1209" s="198">
        <f t="shared" ref="F1209:F1210" si="497">D1208</f>
        <v>1198</v>
      </c>
      <c r="G1209" s="193" t="s">
        <v>55</v>
      </c>
      <c r="H1209" s="193"/>
      <c r="I1209" s="220">
        <f>I1207</f>
        <v>50</v>
      </c>
      <c r="J1209" s="221" t="str">
        <f>J1206</f>
        <v>1550 mm id</v>
      </c>
      <c r="K1209" s="221">
        <v>1</v>
      </c>
      <c r="L1209" s="195" t="s">
        <v>81</v>
      </c>
      <c r="M1209" s="204">
        <v>1</v>
      </c>
      <c r="N1209" s="195" t="s">
        <v>39</v>
      </c>
      <c r="O1209" s="205">
        <v>10</v>
      </c>
      <c r="P1209" s="195" t="s">
        <v>41</v>
      </c>
      <c r="Q1209" s="227">
        <f t="shared" ref="Q1209:Q1210" si="498">M1209*O1209</f>
        <v>10</v>
      </c>
      <c r="R1209" s="226"/>
      <c r="S1209" s="227">
        <f t="shared" si="481"/>
        <v>10</v>
      </c>
      <c r="T1209" s="203" t="s">
        <v>42</v>
      </c>
      <c r="U1209" s="183" t="str">
        <f t="shared" si="479"/>
        <v>10 Days</v>
      </c>
    </row>
    <row r="1210" spans="3:21" s="172" customFormat="1" ht="20.25" customHeight="1">
      <c r="C1210" s="185"/>
      <c r="D1210" s="190">
        <f t="shared" si="467"/>
        <v>1200</v>
      </c>
      <c r="E1210" s="194" t="s">
        <v>592</v>
      </c>
      <c r="F1210" s="198">
        <f t="shared" si="497"/>
        <v>1199</v>
      </c>
      <c r="G1210" s="193" t="s">
        <v>44</v>
      </c>
      <c r="H1210" s="193"/>
      <c r="I1210" s="220">
        <f>I1207</f>
        <v>50</v>
      </c>
      <c r="J1210" s="221" t="str">
        <f>J1207</f>
        <v>1550 mm id</v>
      </c>
      <c r="K1210" s="221">
        <v>1</v>
      </c>
      <c r="L1210" s="195" t="s">
        <v>81</v>
      </c>
      <c r="M1210" s="204">
        <v>1</v>
      </c>
      <c r="N1210" s="195" t="s">
        <v>39</v>
      </c>
      <c r="O1210" s="205">
        <v>1</v>
      </c>
      <c r="P1210" s="195" t="s">
        <v>41</v>
      </c>
      <c r="Q1210" s="227">
        <f t="shared" si="498"/>
        <v>1</v>
      </c>
      <c r="R1210" s="226"/>
      <c r="S1210" s="227">
        <f t="shared" si="481"/>
        <v>1</v>
      </c>
      <c r="T1210" s="203" t="s">
        <v>42</v>
      </c>
      <c r="U1210" s="183" t="str">
        <f t="shared" si="479"/>
        <v>1 Days</v>
      </c>
    </row>
    <row r="1211" spans="3:21" s="172" customFormat="1" ht="20.25" customHeight="1">
      <c r="C1211" s="185">
        <f>D1211</f>
        <v>1201</v>
      </c>
      <c r="D1211" s="190">
        <f t="shared" si="467"/>
        <v>1201</v>
      </c>
      <c r="E1211" s="191" t="s">
        <v>593</v>
      </c>
      <c r="F1211" s="197">
        <f>D1208</f>
        <v>1198</v>
      </c>
      <c r="G1211" s="193"/>
      <c r="H1211" s="193"/>
      <c r="I1211" s="195"/>
      <c r="J1211" s="195"/>
      <c r="K1211" s="221"/>
      <c r="L1211" s="195"/>
      <c r="M1211" s="204"/>
      <c r="N1211" s="195"/>
      <c r="O1211" s="205"/>
      <c r="P1211" s="195"/>
      <c r="Q1211" s="227"/>
      <c r="R1211" s="226"/>
      <c r="S1211" s="227"/>
      <c r="T1211" s="203"/>
      <c r="U1211" s="183"/>
    </row>
    <row r="1212" spans="3:21" s="172" customFormat="1" ht="20.25" customHeight="1">
      <c r="C1212" s="185"/>
      <c r="D1212" s="190">
        <f t="shared" si="467"/>
        <v>1202</v>
      </c>
      <c r="E1212" s="194" t="s">
        <v>594</v>
      </c>
      <c r="F1212" s="198">
        <f t="shared" ref="F1212:F1213" si="499">D1211</f>
        <v>1201</v>
      </c>
      <c r="G1212" s="193" t="s">
        <v>44</v>
      </c>
      <c r="H1212" s="193"/>
      <c r="I1212" s="220">
        <f>I1210</f>
        <v>50</v>
      </c>
      <c r="J1212" s="221" t="str">
        <f>J1210</f>
        <v>1550 mm id</v>
      </c>
      <c r="K1212" s="221">
        <v>1</v>
      </c>
      <c r="L1212" s="195" t="s">
        <v>81</v>
      </c>
      <c r="M1212" s="204">
        <v>1</v>
      </c>
      <c r="N1212" s="195" t="s">
        <v>39</v>
      </c>
      <c r="O1212" s="205">
        <v>4</v>
      </c>
      <c r="P1212" s="195" t="s">
        <v>595</v>
      </c>
      <c r="Q1212" s="227">
        <f t="shared" ref="Q1212:Q1213" si="500">M1212*O1212</f>
        <v>4</v>
      </c>
      <c r="R1212" s="226"/>
      <c r="S1212" s="227">
        <f t="shared" si="481"/>
        <v>4</v>
      </c>
      <c r="T1212" s="203" t="s">
        <v>48</v>
      </c>
      <c r="U1212" s="183" t="str">
        <f t="shared" si="479"/>
        <v>4 Hrs</v>
      </c>
    </row>
    <row r="1213" spans="3:21" s="172" customFormat="1" ht="20.25" customHeight="1">
      <c r="C1213" s="185"/>
      <c r="D1213" s="190">
        <f t="shared" si="467"/>
        <v>1203</v>
      </c>
      <c r="E1213" s="194" t="s">
        <v>593</v>
      </c>
      <c r="F1213" s="198">
        <f t="shared" si="499"/>
        <v>1202</v>
      </c>
      <c r="G1213" s="193" t="s">
        <v>52</v>
      </c>
      <c r="H1213" s="193"/>
      <c r="I1213" s="220">
        <f>I1210</f>
        <v>50</v>
      </c>
      <c r="J1213" s="221" t="str">
        <f>J1210</f>
        <v>1550 mm id</v>
      </c>
      <c r="K1213" s="221">
        <v>1</v>
      </c>
      <c r="L1213" s="195" t="s">
        <v>81</v>
      </c>
      <c r="M1213" s="214">
        <f>LEFT(J1213,SEARCH(" ",J1213,1)-1)*1.28*3.142/1000</f>
        <v>6.2337280000000002</v>
      </c>
      <c r="N1213" s="195" t="s">
        <v>249</v>
      </c>
      <c r="O1213" s="233">
        <f>VLOOKUP(I1213,BM!$B$3:$Y$62,2,FALSE)</f>
        <v>0.1</v>
      </c>
      <c r="P1213" s="195" t="s">
        <v>112</v>
      </c>
      <c r="Q1213" s="227">
        <f t="shared" si="500"/>
        <v>0.62337280000000006</v>
      </c>
      <c r="R1213" s="226">
        <v>2</v>
      </c>
      <c r="S1213" s="227">
        <f t="shared" si="481"/>
        <v>2.62</v>
      </c>
      <c r="T1213" s="203" t="s">
        <v>48</v>
      </c>
      <c r="U1213" s="183" t="str">
        <f t="shared" si="479"/>
        <v>2.62 Hrs</v>
      </c>
    </row>
    <row r="1214" spans="3:21" s="172" customFormat="1" ht="20.25" customHeight="1">
      <c r="C1214" s="185">
        <f>D1214</f>
        <v>1204</v>
      </c>
      <c r="D1214" s="190">
        <f t="shared" si="467"/>
        <v>1204</v>
      </c>
      <c r="E1214" s="191" t="s">
        <v>596</v>
      </c>
      <c r="F1214" s="197">
        <f>D1211</f>
        <v>1201</v>
      </c>
      <c r="G1214" s="193"/>
      <c r="H1214" s="193"/>
      <c r="I1214" s="195"/>
      <c r="J1214" s="195"/>
      <c r="K1214" s="221"/>
      <c r="L1214" s="195"/>
      <c r="M1214" s="204"/>
      <c r="N1214" s="195"/>
      <c r="O1214" s="205"/>
      <c r="P1214" s="195"/>
      <c r="Q1214" s="227"/>
      <c r="R1214" s="226"/>
      <c r="S1214" s="227"/>
      <c r="T1214" s="203"/>
      <c r="U1214" s="183"/>
    </row>
    <row r="1215" spans="3:21" s="172" customFormat="1" ht="20.25" customHeight="1">
      <c r="C1215" s="185"/>
      <c r="D1215" s="190">
        <f t="shared" si="467"/>
        <v>1205</v>
      </c>
      <c r="E1215" s="194" t="s">
        <v>597</v>
      </c>
      <c r="F1215" s="198">
        <f t="shared" ref="F1215" si="501">D1214</f>
        <v>1204</v>
      </c>
      <c r="G1215" s="193" t="s">
        <v>121</v>
      </c>
      <c r="H1215" s="193"/>
      <c r="I1215" s="220">
        <v>25</v>
      </c>
      <c r="J1215" s="221" t="str">
        <f>J1213</f>
        <v>1550 mm id</v>
      </c>
      <c r="K1215" s="221">
        <v>1</v>
      </c>
      <c r="L1215" s="195" t="s">
        <v>81</v>
      </c>
      <c r="M1215" s="214">
        <f>LEFT(J1215,SEARCH(" ",J1215,1)-1)*1.28*3.142/1000</f>
        <v>6.2337280000000002</v>
      </c>
      <c r="N1215" s="195" t="s">
        <v>249</v>
      </c>
      <c r="O1215" s="233">
        <f>VLOOKUP(I1215,BM!$B$3:$Y$62,6,FALSE)</f>
        <v>1</v>
      </c>
      <c r="P1215" s="195" t="s">
        <v>112</v>
      </c>
      <c r="Q1215" s="227">
        <f t="shared" ref="Q1215" si="502">M1215*O1215</f>
        <v>6.2337280000000002</v>
      </c>
      <c r="R1215" s="226">
        <v>2</v>
      </c>
      <c r="S1215" s="227">
        <f t="shared" si="481"/>
        <v>8.23</v>
      </c>
      <c r="T1215" s="203" t="s">
        <v>48</v>
      </c>
      <c r="U1215" s="183" t="str">
        <f t="shared" si="479"/>
        <v>8.23 Hrs</v>
      </c>
    </row>
    <row r="1216" spans="3:21" s="172" customFormat="1" ht="20.25" customHeight="1">
      <c r="C1216" s="185">
        <f>D1216</f>
        <v>1206</v>
      </c>
      <c r="D1216" s="190">
        <f t="shared" si="467"/>
        <v>1206</v>
      </c>
      <c r="E1216" s="191" t="s">
        <v>598</v>
      </c>
      <c r="F1216" s="197"/>
      <c r="G1216" s="193"/>
      <c r="H1216" s="193"/>
      <c r="I1216" s="195"/>
      <c r="J1216" s="195"/>
      <c r="K1216" s="221"/>
      <c r="L1216" s="195"/>
      <c r="M1216" s="204"/>
      <c r="N1216" s="195"/>
      <c r="O1216" s="205"/>
      <c r="P1216" s="195"/>
      <c r="Q1216" s="227"/>
      <c r="R1216" s="226"/>
      <c r="S1216" s="227"/>
      <c r="T1216" s="203"/>
      <c r="U1216" s="183"/>
    </row>
    <row r="1217" spans="3:21" s="172" customFormat="1" ht="20.25" customHeight="1">
      <c r="C1217" s="185"/>
      <c r="D1217" s="190">
        <f t="shared" si="467"/>
        <v>1207</v>
      </c>
      <c r="E1217" s="194" t="s">
        <v>598</v>
      </c>
      <c r="F1217" s="198">
        <f t="shared" ref="F1217" si="503">D1216</f>
        <v>1206</v>
      </c>
      <c r="G1217" s="193" t="s">
        <v>111</v>
      </c>
      <c r="H1217" s="193"/>
      <c r="I1217" s="220">
        <f>I1215</f>
        <v>25</v>
      </c>
      <c r="J1217" s="221" t="str">
        <f>J1215</f>
        <v>1550 mm id</v>
      </c>
      <c r="K1217" s="221">
        <v>1</v>
      </c>
      <c r="L1217" s="195" t="s">
        <v>81</v>
      </c>
      <c r="M1217" s="214">
        <f>LEFT(J1217,SEARCH(" ",J1217,1)-1)*1.28*3.142/1000</f>
        <v>6.2337280000000002</v>
      </c>
      <c r="N1217" s="195" t="s">
        <v>249</v>
      </c>
      <c r="O1217" s="233">
        <f>VLOOKUP(I1217,BM!$B$3:$Y$62,15,FALSE)</f>
        <v>1</v>
      </c>
      <c r="P1217" s="195" t="s">
        <v>112</v>
      </c>
      <c r="Q1217" s="227">
        <f t="shared" ref="Q1217" si="504">M1217*O1217</f>
        <v>6.2337280000000002</v>
      </c>
      <c r="R1217" s="226">
        <v>2</v>
      </c>
      <c r="S1217" s="227">
        <f t="shared" si="481"/>
        <v>8.23</v>
      </c>
      <c r="T1217" s="203" t="s">
        <v>48</v>
      </c>
      <c r="U1217" s="183" t="str">
        <f t="shared" si="479"/>
        <v>8.23 Hrs</v>
      </c>
    </row>
    <row r="1218" spans="3:21" s="172" customFormat="1" ht="20.25" customHeight="1">
      <c r="C1218" s="185">
        <f>D1218</f>
        <v>1208</v>
      </c>
      <c r="D1218" s="190">
        <f t="shared" si="467"/>
        <v>1208</v>
      </c>
      <c r="E1218" s="191" t="s">
        <v>599</v>
      </c>
      <c r="F1218" s="197">
        <f>D1216</f>
        <v>1206</v>
      </c>
      <c r="G1218" s="193"/>
      <c r="H1218" s="193"/>
      <c r="I1218" s="195"/>
      <c r="J1218" s="195"/>
      <c r="K1218" s="221"/>
      <c r="L1218" s="195"/>
      <c r="M1218" s="204"/>
      <c r="N1218" s="195"/>
      <c r="O1218" s="205"/>
      <c r="P1218" s="195"/>
      <c r="Q1218" s="227"/>
      <c r="R1218" s="226"/>
      <c r="S1218" s="227"/>
      <c r="T1218" s="203"/>
      <c r="U1218" s="183"/>
    </row>
    <row r="1219" spans="3:21" s="172" customFormat="1" ht="20.25" customHeight="1">
      <c r="C1219" s="185"/>
      <c r="D1219" s="190">
        <f t="shared" si="467"/>
        <v>1209</v>
      </c>
      <c r="E1219" s="194" t="s">
        <v>599</v>
      </c>
      <c r="F1219" s="198"/>
      <c r="G1219" s="193" t="s">
        <v>115</v>
      </c>
      <c r="H1219" s="193"/>
      <c r="I1219" s="211">
        <v>30</v>
      </c>
      <c r="J1219" s="221" t="str">
        <f>J1217</f>
        <v>1550 mm id</v>
      </c>
      <c r="K1219" s="221">
        <v>1</v>
      </c>
      <c r="L1219" s="195" t="s">
        <v>81</v>
      </c>
      <c r="M1219" s="214">
        <f>LEFT(J1219,SEARCH(" ",J1219,1)-1)*1.28*3.142/1000</f>
        <v>6.2337280000000002</v>
      </c>
      <c r="N1219" s="195" t="s">
        <v>249</v>
      </c>
      <c r="O1219" s="233">
        <f>VLOOKUP(I1219,BM!$B$3:$Y$62,23,FALSE)</f>
        <v>16.8</v>
      </c>
      <c r="P1219" s="195" t="s">
        <v>112</v>
      </c>
      <c r="Q1219" s="227">
        <f t="shared" ref="Q1219:Q1223" si="505">M1219*O1219</f>
        <v>104.7266304</v>
      </c>
      <c r="R1219" s="226">
        <v>2</v>
      </c>
      <c r="S1219" s="227">
        <f t="shared" si="481"/>
        <v>106.73</v>
      </c>
      <c r="T1219" s="203" t="s">
        <v>48</v>
      </c>
      <c r="U1219" s="183" t="str">
        <f t="shared" si="479"/>
        <v>106.73 Hrs</v>
      </c>
    </row>
    <row r="1220" spans="3:21" s="172" customFormat="1" ht="20.25" customHeight="1">
      <c r="C1220" s="185"/>
      <c r="D1220" s="190">
        <f t="shared" si="467"/>
        <v>1210</v>
      </c>
      <c r="E1220" s="194" t="s">
        <v>600</v>
      </c>
      <c r="F1220" s="198">
        <f t="shared" ref="F1220:F1223" si="506">D1219</f>
        <v>1209</v>
      </c>
      <c r="G1220" s="193" t="s">
        <v>299</v>
      </c>
      <c r="H1220" s="193"/>
      <c r="I1220" s="211">
        <v>16</v>
      </c>
      <c r="J1220" s="195" t="str">
        <f>J1219</f>
        <v>1550 mm id</v>
      </c>
      <c r="K1220" s="221">
        <v>1</v>
      </c>
      <c r="L1220" s="195" t="s">
        <v>81</v>
      </c>
      <c r="M1220" s="204">
        <v>1</v>
      </c>
      <c r="N1220" s="195" t="s">
        <v>39</v>
      </c>
      <c r="O1220" s="205">
        <v>4</v>
      </c>
      <c r="P1220" s="195" t="s">
        <v>112</v>
      </c>
      <c r="Q1220" s="227">
        <f t="shared" si="505"/>
        <v>4</v>
      </c>
      <c r="R1220" s="226">
        <v>1</v>
      </c>
      <c r="S1220" s="227">
        <f t="shared" si="481"/>
        <v>5</v>
      </c>
      <c r="T1220" s="203" t="s">
        <v>48</v>
      </c>
      <c r="U1220" s="183" t="str">
        <f t="shared" si="479"/>
        <v>5 Hrs</v>
      </c>
    </row>
    <row r="1221" spans="3:21" s="172" customFormat="1" ht="20.25" customHeight="1">
      <c r="C1221" s="185"/>
      <c r="D1221" s="190">
        <f t="shared" si="467"/>
        <v>1211</v>
      </c>
      <c r="E1221" s="194" t="s">
        <v>601</v>
      </c>
      <c r="F1221" s="198">
        <f t="shared" si="506"/>
        <v>1210</v>
      </c>
      <c r="G1221" s="193" t="s">
        <v>115</v>
      </c>
      <c r="H1221" s="193"/>
      <c r="I1221" s="211">
        <v>16</v>
      </c>
      <c r="J1221" s="221" t="s">
        <v>602</v>
      </c>
      <c r="K1221" s="221">
        <v>1</v>
      </c>
      <c r="L1221" s="195" t="s">
        <v>81</v>
      </c>
      <c r="M1221" s="214">
        <f>LEFT(J1221,SEARCH(" ",J1221,1)-1)/1000</f>
        <v>3</v>
      </c>
      <c r="N1221" s="195" t="s">
        <v>249</v>
      </c>
      <c r="O1221" s="233">
        <f>VLOOKUP(I1221,BM!$B$3:$Y$62,22,FALSE)</f>
        <v>2.8</v>
      </c>
      <c r="P1221" s="195" t="s">
        <v>112</v>
      </c>
      <c r="Q1221" s="227">
        <f t="shared" si="505"/>
        <v>8.3999999999999986</v>
      </c>
      <c r="R1221" s="226">
        <v>2</v>
      </c>
      <c r="S1221" s="227">
        <f t="shared" si="481"/>
        <v>10.4</v>
      </c>
      <c r="T1221" s="203" t="s">
        <v>48</v>
      </c>
      <c r="U1221" s="183" t="str">
        <f t="shared" si="479"/>
        <v>10.4 Hrs</v>
      </c>
    </row>
    <row r="1222" spans="3:21" s="172" customFormat="1" ht="20.25" customHeight="1">
      <c r="C1222" s="185"/>
      <c r="D1222" s="190">
        <f t="shared" si="467"/>
        <v>1212</v>
      </c>
      <c r="E1222" s="194" t="s">
        <v>603</v>
      </c>
      <c r="F1222" s="198">
        <f t="shared" si="506"/>
        <v>1211</v>
      </c>
      <c r="G1222" s="193" t="s">
        <v>44</v>
      </c>
      <c r="H1222" s="193"/>
      <c r="I1222" s="211">
        <v>16</v>
      </c>
      <c r="J1222" s="195" t="str">
        <f>J1221</f>
        <v>3000 mm</v>
      </c>
      <c r="K1222" s="221">
        <v>1</v>
      </c>
      <c r="L1222" s="195" t="s">
        <v>81</v>
      </c>
      <c r="M1222" s="204">
        <v>1</v>
      </c>
      <c r="N1222" s="195" t="s">
        <v>39</v>
      </c>
      <c r="O1222" s="205">
        <v>6</v>
      </c>
      <c r="P1222" s="195" t="s">
        <v>112</v>
      </c>
      <c r="Q1222" s="227">
        <f t="shared" si="505"/>
        <v>6</v>
      </c>
      <c r="R1222" s="226">
        <v>1</v>
      </c>
      <c r="S1222" s="227">
        <f t="shared" si="481"/>
        <v>7</v>
      </c>
      <c r="T1222" s="203" t="s">
        <v>48</v>
      </c>
      <c r="U1222" s="183" t="str">
        <f t="shared" si="479"/>
        <v>7 Hrs</v>
      </c>
    </row>
    <row r="1223" spans="3:21" s="172" customFormat="1" ht="20.25" customHeight="1">
      <c r="C1223" s="185"/>
      <c r="D1223" s="190">
        <f t="shared" si="467"/>
        <v>1213</v>
      </c>
      <c r="E1223" s="194" t="s">
        <v>604</v>
      </c>
      <c r="F1223" s="198">
        <f t="shared" si="506"/>
        <v>1212</v>
      </c>
      <c r="G1223" s="193" t="s">
        <v>63</v>
      </c>
      <c r="H1223" s="193"/>
      <c r="I1223" s="211">
        <v>16</v>
      </c>
      <c r="J1223" s="195" t="str">
        <f>J1222</f>
        <v>3000 mm</v>
      </c>
      <c r="K1223" s="221">
        <v>1</v>
      </c>
      <c r="L1223" s="195" t="s">
        <v>81</v>
      </c>
      <c r="M1223" s="204">
        <v>1</v>
      </c>
      <c r="N1223" s="195" t="s">
        <v>39</v>
      </c>
      <c r="O1223" s="205">
        <v>1</v>
      </c>
      <c r="P1223" s="195" t="s">
        <v>112</v>
      </c>
      <c r="Q1223" s="227">
        <f t="shared" si="505"/>
        <v>1</v>
      </c>
      <c r="R1223" s="226">
        <v>1</v>
      </c>
      <c r="S1223" s="227">
        <f t="shared" si="481"/>
        <v>2</v>
      </c>
      <c r="T1223" s="203" t="s">
        <v>48</v>
      </c>
      <c r="U1223" s="183" t="str">
        <f t="shared" si="479"/>
        <v>2 Hrs</v>
      </c>
    </row>
    <row r="1224" spans="3:21" s="172" customFormat="1" ht="20.25" customHeight="1">
      <c r="C1224" s="185">
        <f>D1224</f>
        <v>1214</v>
      </c>
      <c r="D1224" s="190">
        <f t="shared" si="467"/>
        <v>1214</v>
      </c>
      <c r="E1224" s="191" t="s">
        <v>605</v>
      </c>
      <c r="F1224" s="197">
        <f>D1218</f>
        <v>1208</v>
      </c>
      <c r="G1224" s="193"/>
      <c r="H1224" s="193"/>
      <c r="I1224" s="195"/>
      <c r="J1224" s="195"/>
      <c r="K1224" s="221"/>
      <c r="L1224" s="195"/>
      <c r="M1224" s="204"/>
      <c r="N1224" s="195"/>
      <c r="O1224" s="205"/>
      <c r="P1224" s="195"/>
      <c r="Q1224" s="227"/>
      <c r="R1224" s="226"/>
      <c r="S1224" s="227"/>
      <c r="T1224" s="203"/>
      <c r="U1224" s="183"/>
    </row>
    <row r="1225" spans="3:21" s="172" customFormat="1" ht="20.25" customHeight="1">
      <c r="C1225" s="185"/>
      <c r="D1225" s="190">
        <f t="shared" si="467"/>
        <v>1215</v>
      </c>
      <c r="E1225" s="194" t="s">
        <v>606</v>
      </c>
      <c r="F1225" s="198"/>
      <c r="G1225" s="193" t="s">
        <v>55</v>
      </c>
      <c r="H1225" s="193"/>
      <c r="I1225" s="195"/>
      <c r="J1225" s="221" t="str">
        <f>J1220</f>
        <v>1550 mm id</v>
      </c>
      <c r="K1225" s="221">
        <v>1</v>
      </c>
      <c r="L1225" s="195" t="s">
        <v>81</v>
      </c>
      <c r="M1225" s="204">
        <v>1</v>
      </c>
      <c r="N1225" s="195" t="s">
        <v>39</v>
      </c>
      <c r="O1225" s="205">
        <v>3</v>
      </c>
      <c r="P1225" s="195" t="s">
        <v>41</v>
      </c>
      <c r="Q1225" s="227">
        <f t="shared" ref="Q1225:Q1229" si="507">M1225*O1225</f>
        <v>3</v>
      </c>
      <c r="R1225" s="226">
        <v>0</v>
      </c>
      <c r="S1225" s="227">
        <f t="shared" si="481"/>
        <v>3</v>
      </c>
      <c r="T1225" s="203" t="s">
        <v>48</v>
      </c>
      <c r="U1225" s="183" t="str">
        <f t="shared" si="479"/>
        <v>3 Hrs</v>
      </c>
    </row>
    <row r="1226" spans="3:21" s="172" customFormat="1" ht="20.25" customHeight="1">
      <c r="C1226" s="185"/>
      <c r="D1226" s="190">
        <f t="shared" si="467"/>
        <v>1216</v>
      </c>
      <c r="E1226" s="194" t="s">
        <v>607</v>
      </c>
      <c r="F1226" s="198">
        <f t="shared" ref="F1226:F1229" si="508">D1225</f>
        <v>1215</v>
      </c>
      <c r="G1226" s="193" t="s">
        <v>55</v>
      </c>
      <c r="H1226" s="193"/>
      <c r="I1226" s="195"/>
      <c r="J1226" s="221" t="str">
        <f>J1225</f>
        <v>1550 mm id</v>
      </c>
      <c r="K1226" s="221">
        <v>1</v>
      </c>
      <c r="L1226" s="195" t="s">
        <v>81</v>
      </c>
      <c r="M1226" s="204">
        <v>1</v>
      </c>
      <c r="N1226" s="195" t="s">
        <v>39</v>
      </c>
      <c r="O1226" s="205">
        <v>4</v>
      </c>
      <c r="P1226" s="195" t="s">
        <v>41</v>
      </c>
      <c r="Q1226" s="227">
        <f t="shared" si="507"/>
        <v>4</v>
      </c>
      <c r="R1226" s="226">
        <v>0</v>
      </c>
      <c r="S1226" s="227">
        <f t="shared" si="481"/>
        <v>4</v>
      </c>
      <c r="T1226" s="203" t="s">
        <v>48</v>
      </c>
      <c r="U1226" s="183" t="str">
        <f t="shared" si="479"/>
        <v>4 Hrs</v>
      </c>
    </row>
    <row r="1227" spans="3:21" s="172" customFormat="1" ht="20.25" customHeight="1">
      <c r="C1227" s="185"/>
      <c r="D1227" s="190">
        <f t="shared" si="467"/>
        <v>1217</v>
      </c>
      <c r="E1227" s="194" t="s">
        <v>608</v>
      </c>
      <c r="F1227" s="198">
        <f t="shared" si="508"/>
        <v>1216</v>
      </c>
      <c r="G1227" s="193" t="s">
        <v>44</v>
      </c>
      <c r="H1227" s="193"/>
      <c r="I1227" s="195"/>
      <c r="J1227" s="221" t="str">
        <f>J1226</f>
        <v>1550 mm id</v>
      </c>
      <c r="K1227" s="221">
        <v>1</v>
      </c>
      <c r="L1227" s="195" t="s">
        <v>81</v>
      </c>
      <c r="M1227" s="204">
        <v>1</v>
      </c>
      <c r="N1227" s="195" t="s">
        <v>39</v>
      </c>
      <c r="O1227" s="205">
        <v>0.5</v>
      </c>
      <c r="P1227" s="195" t="s">
        <v>41</v>
      </c>
      <c r="Q1227" s="227">
        <f t="shared" si="507"/>
        <v>0.5</v>
      </c>
      <c r="R1227" s="226">
        <v>0</v>
      </c>
      <c r="S1227" s="227">
        <f t="shared" si="481"/>
        <v>0.5</v>
      </c>
      <c r="T1227" s="203" t="s">
        <v>48</v>
      </c>
      <c r="U1227" s="183" t="str">
        <f t="shared" si="479"/>
        <v>0.5 Hrs</v>
      </c>
    </row>
    <row r="1228" spans="3:21" s="172" customFormat="1" ht="20.25" customHeight="1">
      <c r="C1228" s="185"/>
      <c r="D1228" s="190">
        <f t="shared" si="467"/>
        <v>1218</v>
      </c>
      <c r="E1228" s="194" t="s">
        <v>609</v>
      </c>
      <c r="F1228" s="198">
        <f t="shared" si="508"/>
        <v>1217</v>
      </c>
      <c r="G1228" s="193" t="s">
        <v>55</v>
      </c>
      <c r="H1228" s="193"/>
      <c r="I1228" s="211" t="s">
        <v>610</v>
      </c>
      <c r="J1228" s="195" t="str">
        <f>J1227</f>
        <v>1550 mm id</v>
      </c>
      <c r="K1228" s="221">
        <v>72</v>
      </c>
      <c r="L1228" s="195" t="s">
        <v>611</v>
      </c>
      <c r="M1228" s="204">
        <v>1</v>
      </c>
      <c r="N1228" s="195" t="s">
        <v>39</v>
      </c>
      <c r="O1228" s="205">
        <v>4</v>
      </c>
      <c r="P1228" s="195" t="s">
        <v>41</v>
      </c>
      <c r="Q1228" s="227">
        <f t="shared" si="507"/>
        <v>4</v>
      </c>
      <c r="R1228" s="226">
        <v>0</v>
      </c>
      <c r="S1228" s="227">
        <f t="shared" si="481"/>
        <v>4</v>
      </c>
      <c r="T1228" s="203" t="s">
        <v>48</v>
      </c>
      <c r="U1228" s="183" t="str">
        <f t="shared" si="479"/>
        <v>4 Hrs</v>
      </c>
    </row>
    <row r="1229" spans="3:21" s="172" customFormat="1" ht="20.25" customHeight="1">
      <c r="C1229" s="185"/>
      <c r="D1229" s="190">
        <f t="shared" ref="D1229:D1270" si="509">D1228+1</f>
        <v>1219</v>
      </c>
      <c r="E1229" s="194" t="s">
        <v>612</v>
      </c>
      <c r="F1229" s="198">
        <f t="shared" si="508"/>
        <v>1218</v>
      </c>
      <c r="G1229" s="193" t="s">
        <v>44</v>
      </c>
      <c r="H1229" s="193"/>
      <c r="I1229" s="211" t="s">
        <v>610</v>
      </c>
      <c r="J1229" s="195" t="str">
        <f>J1228</f>
        <v>1550 mm id</v>
      </c>
      <c r="K1229" s="221">
        <v>1</v>
      </c>
      <c r="L1229" s="195" t="s">
        <v>39</v>
      </c>
      <c r="M1229" s="204">
        <v>1</v>
      </c>
      <c r="N1229" s="195" t="s">
        <v>39</v>
      </c>
      <c r="O1229" s="205">
        <v>1</v>
      </c>
      <c r="P1229" s="195" t="s">
        <v>41</v>
      </c>
      <c r="Q1229" s="227">
        <f t="shared" si="507"/>
        <v>1</v>
      </c>
      <c r="R1229" s="226">
        <v>0</v>
      </c>
      <c r="S1229" s="227">
        <f t="shared" si="481"/>
        <v>1</v>
      </c>
      <c r="T1229" s="203" t="s">
        <v>48</v>
      </c>
      <c r="U1229" s="183" t="str">
        <f t="shared" si="479"/>
        <v>1 Hrs</v>
      </c>
    </row>
    <row r="1230" spans="3:21" s="172" customFormat="1" ht="20.25" customHeight="1">
      <c r="C1230" s="185">
        <f t="shared" ref="C1230:C1231" si="510">D1230</f>
        <v>1220</v>
      </c>
      <c r="D1230" s="190">
        <f t="shared" si="509"/>
        <v>1220</v>
      </c>
      <c r="E1230" s="238" t="s">
        <v>613</v>
      </c>
      <c r="F1230" s="197"/>
      <c r="G1230" s="193"/>
      <c r="H1230" s="193"/>
      <c r="I1230" s="195"/>
      <c r="J1230" s="195"/>
      <c r="K1230" s="221"/>
      <c r="L1230" s="195"/>
      <c r="M1230" s="204"/>
      <c r="N1230" s="195"/>
      <c r="O1230" s="205"/>
      <c r="P1230" s="195"/>
      <c r="Q1230" s="227"/>
      <c r="R1230" s="226"/>
      <c r="S1230" s="227"/>
      <c r="T1230" s="203"/>
      <c r="U1230" s="183"/>
    </row>
    <row r="1231" spans="3:21" s="172" customFormat="1" ht="20.25" customHeight="1">
      <c r="C1231" s="185">
        <f t="shared" si="510"/>
        <v>1221</v>
      </c>
      <c r="D1231" s="190">
        <f t="shared" si="509"/>
        <v>1221</v>
      </c>
      <c r="E1231" s="191" t="s">
        <v>614</v>
      </c>
      <c r="F1231" s="197"/>
      <c r="G1231" s="193"/>
      <c r="H1231" s="193"/>
      <c r="I1231" s="195"/>
      <c r="J1231" s="195"/>
      <c r="K1231" s="221"/>
      <c r="L1231" s="195"/>
      <c r="M1231" s="204"/>
      <c r="N1231" s="195"/>
      <c r="O1231" s="205"/>
      <c r="P1231" s="195"/>
      <c r="Q1231" s="227"/>
      <c r="R1231" s="226"/>
      <c r="S1231" s="227"/>
      <c r="T1231" s="203"/>
      <c r="U1231" s="183"/>
    </row>
    <row r="1232" spans="3:21" s="172" customFormat="1" ht="20.25" customHeight="1">
      <c r="C1232" s="185"/>
      <c r="D1232" s="190">
        <f t="shared" si="509"/>
        <v>1222</v>
      </c>
      <c r="E1232" s="194" t="s">
        <v>615</v>
      </c>
      <c r="F1232" s="198"/>
      <c r="G1232" s="193" t="s">
        <v>616</v>
      </c>
      <c r="H1232" s="193"/>
      <c r="I1232" s="211" t="s">
        <v>617</v>
      </c>
      <c r="J1232" s="221" t="s">
        <v>618</v>
      </c>
      <c r="K1232" s="221"/>
      <c r="L1232" s="195"/>
      <c r="M1232" s="204">
        <v>1</v>
      </c>
      <c r="N1232" s="195"/>
      <c r="O1232" s="205">
        <v>1.5</v>
      </c>
      <c r="P1232" s="195" t="s">
        <v>41</v>
      </c>
      <c r="Q1232" s="227">
        <f t="shared" ref="Q1232:Q1233" si="511">M1232*O1232</f>
        <v>1.5</v>
      </c>
      <c r="R1232" s="226">
        <v>0</v>
      </c>
      <c r="S1232" s="227">
        <f t="shared" si="481"/>
        <v>1.5</v>
      </c>
      <c r="T1232" s="203" t="s">
        <v>48</v>
      </c>
      <c r="U1232" s="183" t="str">
        <f t="shared" si="479"/>
        <v>1.5 Hrs</v>
      </c>
    </row>
    <row r="1233" spans="3:21" s="172" customFormat="1" ht="20.25" customHeight="1">
      <c r="C1233" s="185"/>
      <c r="D1233" s="190">
        <f t="shared" si="509"/>
        <v>1223</v>
      </c>
      <c r="E1233" s="194" t="s">
        <v>619</v>
      </c>
      <c r="F1233" s="198">
        <f t="shared" ref="F1233" si="512">D1232</f>
        <v>1222</v>
      </c>
      <c r="G1233" s="193" t="s">
        <v>620</v>
      </c>
      <c r="H1233" s="193"/>
      <c r="I1233" s="195"/>
      <c r="J1233" s="221" t="s">
        <v>621</v>
      </c>
      <c r="K1233" s="221">
        <v>1</v>
      </c>
      <c r="L1233" s="195" t="s">
        <v>81</v>
      </c>
      <c r="M1233" s="204">
        <v>19</v>
      </c>
      <c r="N1233" s="195" t="s">
        <v>81</v>
      </c>
      <c r="O1233" s="205">
        <v>0.5</v>
      </c>
      <c r="P1233" s="195" t="s">
        <v>112</v>
      </c>
      <c r="Q1233" s="227">
        <f t="shared" si="511"/>
        <v>9.5</v>
      </c>
      <c r="R1233" s="226">
        <v>1</v>
      </c>
      <c r="S1233" s="227">
        <f t="shared" si="481"/>
        <v>10.5</v>
      </c>
      <c r="T1233" s="203" t="s">
        <v>48</v>
      </c>
      <c r="U1233" s="183" t="str">
        <f t="shared" si="479"/>
        <v>10.5 Hrs</v>
      </c>
    </row>
    <row r="1234" spans="3:21" s="172" customFormat="1" ht="20.25" customHeight="1">
      <c r="C1234" s="185">
        <f>D1234</f>
        <v>1224</v>
      </c>
      <c r="D1234" s="190">
        <f t="shared" si="509"/>
        <v>1224</v>
      </c>
      <c r="E1234" s="191" t="s">
        <v>622</v>
      </c>
      <c r="F1234" s="197">
        <f>D1231</f>
        <v>1221</v>
      </c>
      <c r="G1234" s="193"/>
      <c r="H1234" s="193"/>
      <c r="I1234" s="195"/>
      <c r="J1234" s="195"/>
      <c r="K1234" s="221"/>
      <c r="L1234" s="195"/>
      <c r="M1234" s="204"/>
      <c r="N1234" s="195"/>
      <c r="O1234" s="205"/>
      <c r="P1234" s="195"/>
      <c r="Q1234" s="227"/>
      <c r="R1234" s="226"/>
      <c r="S1234" s="227"/>
      <c r="T1234" s="203"/>
      <c r="U1234" s="183"/>
    </row>
    <row r="1235" spans="3:21" s="172" customFormat="1" ht="20.25" customHeight="1">
      <c r="C1235" s="185"/>
      <c r="D1235" s="190">
        <f t="shared" si="509"/>
        <v>1225</v>
      </c>
      <c r="E1235" s="194" t="s">
        <v>622</v>
      </c>
      <c r="F1235" s="198"/>
      <c r="G1235" s="193" t="s">
        <v>623</v>
      </c>
      <c r="H1235" s="193"/>
      <c r="I1235" s="211" t="s">
        <v>266</v>
      </c>
      <c r="J1235" s="221" t="s">
        <v>624</v>
      </c>
      <c r="K1235" s="221">
        <v>654</v>
      </c>
      <c r="L1235" s="195" t="s">
        <v>81</v>
      </c>
      <c r="M1235" s="222">
        <f>K1235</f>
        <v>654</v>
      </c>
      <c r="N1235" s="195" t="s">
        <v>81</v>
      </c>
      <c r="O1235" s="233">
        <f>1/60*5</f>
        <v>8.3333333333333329E-2</v>
      </c>
      <c r="P1235" s="195" t="s">
        <v>87</v>
      </c>
      <c r="Q1235" s="227">
        <f t="shared" ref="Q1235:Q1237" si="513">M1235*O1235</f>
        <v>54.5</v>
      </c>
      <c r="R1235" s="226">
        <v>1</v>
      </c>
      <c r="S1235" s="227">
        <f t="shared" si="481"/>
        <v>55.5</v>
      </c>
      <c r="T1235" s="203" t="s">
        <v>48</v>
      </c>
      <c r="U1235" s="183" t="str">
        <f t="shared" si="479"/>
        <v>55.5 Hrs</v>
      </c>
    </row>
    <row r="1236" spans="3:21" s="172" customFormat="1" ht="20.25" customHeight="1">
      <c r="C1236" s="185"/>
      <c r="D1236" s="190">
        <f t="shared" si="509"/>
        <v>1226</v>
      </c>
      <c r="E1236" s="194" t="s">
        <v>625</v>
      </c>
      <c r="F1236" s="198">
        <f t="shared" ref="F1236:F1237" si="514">D1235</f>
        <v>1225</v>
      </c>
      <c r="G1236" s="193" t="s">
        <v>626</v>
      </c>
      <c r="H1236" s="193"/>
      <c r="I1236" s="211" t="s">
        <v>266</v>
      </c>
      <c r="J1236" s="221" t="s">
        <v>627</v>
      </c>
      <c r="K1236" s="221">
        <v>14</v>
      </c>
      <c r="L1236" s="195" t="s">
        <v>81</v>
      </c>
      <c r="M1236" s="222">
        <f>K1236</f>
        <v>14</v>
      </c>
      <c r="N1236" s="195" t="s">
        <v>81</v>
      </c>
      <c r="O1236" s="233">
        <v>0.5</v>
      </c>
      <c r="P1236" s="195" t="s">
        <v>87</v>
      </c>
      <c r="Q1236" s="227">
        <f t="shared" si="513"/>
        <v>7</v>
      </c>
      <c r="R1236" s="226">
        <v>1</v>
      </c>
      <c r="S1236" s="227">
        <f t="shared" si="481"/>
        <v>8</v>
      </c>
      <c r="T1236" s="203" t="s">
        <v>48</v>
      </c>
      <c r="U1236" s="183" t="str">
        <f t="shared" si="479"/>
        <v>8 Hrs</v>
      </c>
    </row>
    <row r="1237" spans="3:21" s="172" customFormat="1" ht="20.25" customHeight="1">
      <c r="C1237" s="185"/>
      <c r="D1237" s="190">
        <f t="shared" si="509"/>
        <v>1227</v>
      </c>
      <c r="E1237" s="194" t="s">
        <v>622</v>
      </c>
      <c r="F1237" s="198">
        <f t="shared" si="514"/>
        <v>1226</v>
      </c>
      <c r="G1237" s="193" t="s">
        <v>623</v>
      </c>
      <c r="H1237" s="193"/>
      <c r="I1237" s="211" t="s">
        <v>266</v>
      </c>
      <c r="J1237" s="195" t="str">
        <f>J1235</f>
        <v>7000 lg</v>
      </c>
      <c r="K1237" s="221">
        <v>654</v>
      </c>
      <c r="L1237" s="195" t="s">
        <v>81</v>
      </c>
      <c r="M1237" s="222">
        <f>K1237</f>
        <v>654</v>
      </c>
      <c r="N1237" s="195" t="s">
        <v>81</v>
      </c>
      <c r="O1237" s="233">
        <f>1/60*5</f>
        <v>8.3333333333333329E-2</v>
      </c>
      <c r="P1237" s="195" t="s">
        <v>87</v>
      </c>
      <c r="Q1237" s="227">
        <f t="shared" si="513"/>
        <v>54.5</v>
      </c>
      <c r="R1237" s="226">
        <v>1</v>
      </c>
      <c r="S1237" s="227">
        <f t="shared" si="481"/>
        <v>55.5</v>
      </c>
      <c r="T1237" s="203" t="s">
        <v>48</v>
      </c>
      <c r="U1237" s="183" t="str">
        <f t="shared" si="479"/>
        <v>55.5 Hrs</v>
      </c>
    </row>
    <row r="1238" spans="3:21" s="172" customFormat="1" ht="20.25" customHeight="1">
      <c r="C1238" s="185">
        <f>D1238</f>
        <v>1228</v>
      </c>
      <c r="D1238" s="190">
        <f t="shared" si="509"/>
        <v>1228</v>
      </c>
      <c r="E1238" s="191" t="s">
        <v>628</v>
      </c>
      <c r="F1238" s="197">
        <f>D1234</f>
        <v>1224</v>
      </c>
      <c r="G1238" s="193"/>
      <c r="H1238" s="193"/>
      <c r="I1238" s="195"/>
      <c r="J1238" s="195"/>
      <c r="K1238" s="221"/>
      <c r="L1238" s="195"/>
      <c r="M1238" s="204"/>
      <c r="N1238" s="195"/>
      <c r="O1238" s="205"/>
      <c r="P1238" s="195"/>
      <c r="Q1238" s="227"/>
      <c r="R1238" s="226"/>
      <c r="S1238" s="227"/>
      <c r="T1238" s="203"/>
      <c r="U1238" s="183"/>
    </row>
    <row r="1239" spans="3:21" s="172" customFormat="1" ht="20.25" customHeight="1">
      <c r="C1239" s="185"/>
      <c r="D1239" s="190">
        <f t="shared" si="509"/>
        <v>1229</v>
      </c>
      <c r="E1239" s="194" t="s">
        <v>629</v>
      </c>
      <c r="F1239" s="198"/>
      <c r="G1239" s="193" t="s">
        <v>44</v>
      </c>
      <c r="H1239" s="193"/>
      <c r="I1239" s="211">
        <v>8</v>
      </c>
      <c r="J1239" s="221" t="s">
        <v>630</v>
      </c>
      <c r="K1239" s="221">
        <v>2</v>
      </c>
      <c r="L1239" s="195" t="s">
        <v>81</v>
      </c>
      <c r="M1239" s="204">
        <v>2</v>
      </c>
      <c r="N1239" s="195" t="s">
        <v>81</v>
      </c>
      <c r="O1239" s="233">
        <v>3</v>
      </c>
      <c r="P1239" s="195" t="s">
        <v>87</v>
      </c>
      <c r="Q1239" s="227">
        <f t="shared" ref="Q1239:Q1241" si="515">M1239*O1239</f>
        <v>6</v>
      </c>
      <c r="R1239" s="226">
        <v>1</v>
      </c>
      <c r="S1239" s="227">
        <f t="shared" si="481"/>
        <v>7</v>
      </c>
      <c r="T1239" s="203" t="s">
        <v>48</v>
      </c>
      <c r="U1239" s="183" t="str">
        <f t="shared" si="479"/>
        <v>7 Hrs</v>
      </c>
    </row>
    <row r="1240" spans="3:21" s="172" customFormat="1" ht="20.25" customHeight="1">
      <c r="C1240" s="185"/>
      <c r="D1240" s="190">
        <f t="shared" si="509"/>
        <v>1230</v>
      </c>
      <c r="E1240" s="194" t="s">
        <v>631</v>
      </c>
      <c r="F1240" s="198">
        <f t="shared" ref="F1240:F1241" si="516">D1239</f>
        <v>1229</v>
      </c>
      <c r="G1240" s="193" t="s">
        <v>115</v>
      </c>
      <c r="H1240" s="193"/>
      <c r="I1240" s="211">
        <v>8</v>
      </c>
      <c r="J1240" s="221" t="s">
        <v>632</v>
      </c>
      <c r="K1240" s="221">
        <v>1</v>
      </c>
      <c r="L1240" s="195" t="s">
        <v>84</v>
      </c>
      <c r="M1240" s="214" t="str">
        <f>LEFT(J1240,SEARCH(" ",J1240,1)-1)</f>
        <v>60</v>
      </c>
      <c r="N1240" s="195" t="s">
        <v>633</v>
      </c>
      <c r="O1240" s="233">
        <v>0.25</v>
      </c>
      <c r="P1240" s="195" t="s">
        <v>87</v>
      </c>
      <c r="Q1240" s="227">
        <f t="shared" si="515"/>
        <v>15</v>
      </c>
      <c r="R1240" s="226">
        <v>1</v>
      </c>
      <c r="S1240" s="227">
        <f t="shared" si="481"/>
        <v>16</v>
      </c>
      <c r="T1240" s="203" t="s">
        <v>48</v>
      </c>
      <c r="U1240" s="183" t="str">
        <f t="shared" si="479"/>
        <v>16 Hrs</v>
      </c>
    </row>
    <row r="1241" spans="3:21" s="172" customFormat="1" ht="20.25" customHeight="1">
      <c r="C1241" s="185"/>
      <c r="D1241" s="190">
        <f t="shared" si="509"/>
        <v>1231</v>
      </c>
      <c r="E1241" s="194" t="s">
        <v>634</v>
      </c>
      <c r="F1241" s="198">
        <f t="shared" si="516"/>
        <v>1230</v>
      </c>
      <c r="G1241" s="193" t="s">
        <v>61</v>
      </c>
      <c r="H1241" s="193"/>
      <c r="I1241" s="211">
        <v>1500</v>
      </c>
      <c r="J1241" s="195" t="str">
        <f>J1240</f>
        <v>60 joints</v>
      </c>
      <c r="K1241" s="221">
        <v>1</v>
      </c>
      <c r="L1241" s="195" t="s">
        <v>84</v>
      </c>
      <c r="M1241" s="214" t="str">
        <f>LEFT(J1241,SEARCH(" ",J1241,1)-1)</f>
        <v>60</v>
      </c>
      <c r="N1241" s="195" t="s">
        <v>633</v>
      </c>
      <c r="O1241" s="233">
        <f>VLOOKUP(I1241,BM!$B$3:$Y$62,9,FALSE)</f>
        <v>0.25</v>
      </c>
      <c r="P1241" s="195" t="s">
        <v>87</v>
      </c>
      <c r="Q1241" s="227">
        <f t="shared" si="515"/>
        <v>15</v>
      </c>
      <c r="R1241" s="226">
        <v>1</v>
      </c>
      <c r="S1241" s="227">
        <f t="shared" si="481"/>
        <v>16</v>
      </c>
      <c r="T1241" s="203" t="s">
        <v>48</v>
      </c>
      <c r="U1241" s="183" t="str">
        <f t="shared" si="479"/>
        <v>16 Hrs</v>
      </c>
    </row>
    <row r="1242" spans="3:21" s="172" customFormat="1" ht="20.25" customHeight="1">
      <c r="C1242" s="185">
        <f>D1242</f>
        <v>1232</v>
      </c>
      <c r="D1242" s="190">
        <f t="shared" si="509"/>
        <v>1232</v>
      </c>
      <c r="E1242" s="191" t="s">
        <v>635</v>
      </c>
      <c r="F1242" s="197">
        <f>D1238</f>
        <v>1228</v>
      </c>
      <c r="G1242" s="193"/>
      <c r="H1242" s="193"/>
      <c r="I1242" s="195"/>
      <c r="J1242" s="195"/>
      <c r="K1242" s="221"/>
      <c r="L1242" s="195"/>
      <c r="M1242" s="204"/>
      <c r="N1242" s="195"/>
      <c r="O1242" s="205"/>
      <c r="P1242" s="195"/>
      <c r="Q1242" s="227"/>
      <c r="R1242" s="226"/>
      <c r="S1242" s="227"/>
      <c r="T1242" s="203"/>
      <c r="U1242" s="183"/>
    </row>
    <row r="1243" spans="3:21" s="172" customFormat="1" ht="20.25" customHeight="1">
      <c r="C1243" s="185"/>
      <c r="D1243" s="190">
        <f t="shared" si="509"/>
        <v>1233</v>
      </c>
      <c r="E1243" s="194" t="s">
        <v>636</v>
      </c>
      <c r="F1243" s="198"/>
      <c r="G1243" s="193" t="s">
        <v>637</v>
      </c>
      <c r="H1243" s="193"/>
      <c r="I1243" s="195"/>
      <c r="J1243" s="221" t="s">
        <v>638</v>
      </c>
      <c r="K1243" s="221">
        <v>1</v>
      </c>
      <c r="L1243" s="195" t="s">
        <v>81</v>
      </c>
      <c r="M1243" s="204">
        <v>1</v>
      </c>
      <c r="N1243" s="195" t="s">
        <v>81</v>
      </c>
      <c r="O1243" s="205">
        <v>16</v>
      </c>
      <c r="P1243" s="195" t="s">
        <v>87</v>
      </c>
      <c r="Q1243" s="227">
        <f t="shared" ref="Q1243:Q1245" si="517">M1243*O1243</f>
        <v>16</v>
      </c>
      <c r="R1243" s="226">
        <v>1</v>
      </c>
      <c r="S1243" s="227">
        <f t="shared" si="481"/>
        <v>17</v>
      </c>
      <c r="T1243" s="203" t="s">
        <v>48</v>
      </c>
      <c r="U1243" s="183" t="str">
        <f t="shared" si="479"/>
        <v>17 Hrs</v>
      </c>
    </row>
    <row r="1244" spans="3:21" s="172" customFormat="1" ht="20.25" customHeight="1">
      <c r="C1244" s="185"/>
      <c r="D1244" s="190">
        <f t="shared" si="509"/>
        <v>1234</v>
      </c>
      <c r="E1244" s="194" t="s">
        <v>639</v>
      </c>
      <c r="F1244" s="198">
        <f t="shared" ref="F1244:F1245" si="518">D1243</f>
        <v>1233</v>
      </c>
      <c r="G1244" s="193" t="s">
        <v>640</v>
      </c>
      <c r="H1244" s="193"/>
      <c r="I1244" s="211" t="s">
        <v>641</v>
      </c>
      <c r="J1244" s="195"/>
      <c r="K1244" s="221">
        <v>1</v>
      </c>
      <c r="L1244" s="195" t="s">
        <v>81</v>
      </c>
      <c r="M1244" s="204">
        <v>1</v>
      </c>
      <c r="N1244" s="195" t="s">
        <v>81</v>
      </c>
      <c r="O1244" s="205">
        <v>4</v>
      </c>
      <c r="P1244" s="195" t="s">
        <v>87</v>
      </c>
      <c r="Q1244" s="227">
        <f t="shared" si="517"/>
        <v>4</v>
      </c>
      <c r="R1244" s="226">
        <v>1</v>
      </c>
      <c r="S1244" s="227">
        <f t="shared" si="481"/>
        <v>5</v>
      </c>
      <c r="T1244" s="203" t="s">
        <v>48</v>
      </c>
      <c r="U1244" s="183" t="str">
        <f t="shared" ref="U1244:U1288" si="519">CONCATENATE(S1244," ",T1244)</f>
        <v>5 Hrs</v>
      </c>
    </row>
    <row r="1245" spans="3:21" s="172" customFormat="1" ht="20.25" customHeight="1">
      <c r="C1245" s="185"/>
      <c r="D1245" s="190">
        <f t="shared" si="509"/>
        <v>1235</v>
      </c>
      <c r="E1245" s="194" t="s">
        <v>642</v>
      </c>
      <c r="F1245" s="198">
        <f t="shared" si="518"/>
        <v>1234</v>
      </c>
      <c r="G1245" s="193" t="s">
        <v>643</v>
      </c>
      <c r="H1245" s="193"/>
      <c r="I1245" s="211" t="s">
        <v>644</v>
      </c>
      <c r="J1245" s="221">
        <v>1490</v>
      </c>
      <c r="K1245" s="221">
        <v>1</v>
      </c>
      <c r="L1245" s="195" t="s">
        <v>81</v>
      </c>
      <c r="M1245" s="204">
        <v>56</v>
      </c>
      <c r="N1245" s="195" t="s">
        <v>645</v>
      </c>
      <c r="O1245" s="233">
        <f>1/60*10</f>
        <v>0.16666666666666666</v>
      </c>
      <c r="P1245" s="195" t="s">
        <v>112</v>
      </c>
      <c r="Q1245" s="227">
        <f t="shared" si="517"/>
        <v>9.3333333333333321</v>
      </c>
      <c r="R1245" s="226">
        <v>1</v>
      </c>
      <c r="S1245" s="227">
        <f t="shared" ref="S1245:S1288" si="520">ROUND(Q1245+R1245,2)</f>
        <v>10.33</v>
      </c>
      <c r="T1245" s="203" t="s">
        <v>48</v>
      </c>
      <c r="U1245" s="183" t="str">
        <f t="shared" si="519"/>
        <v>10.33 Hrs</v>
      </c>
    </row>
    <row r="1246" spans="3:21" s="172" customFormat="1" ht="20.25" customHeight="1">
      <c r="C1246" s="185">
        <f>D1246</f>
        <v>1236</v>
      </c>
      <c r="D1246" s="190">
        <f t="shared" si="509"/>
        <v>1236</v>
      </c>
      <c r="E1246" s="191" t="s">
        <v>646</v>
      </c>
      <c r="F1246" s="197">
        <f>D1242</f>
        <v>1232</v>
      </c>
      <c r="G1246" s="193"/>
      <c r="H1246" s="193"/>
      <c r="I1246" s="195"/>
      <c r="J1246" s="195"/>
      <c r="K1246" s="221"/>
      <c r="L1246" s="195"/>
      <c r="M1246" s="204"/>
      <c r="N1246" s="195"/>
      <c r="O1246" s="205"/>
      <c r="P1246" s="195"/>
      <c r="Q1246" s="227"/>
      <c r="R1246" s="226"/>
      <c r="S1246" s="227"/>
      <c r="T1246" s="203"/>
      <c r="U1246" s="183"/>
    </row>
    <row r="1247" spans="3:21" s="172" customFormat="1" ht="20.25" customHeight="1">
      <c r="C1247" s="185"/>
      <c r="D1247" s="190">
        <f t="shared" si="509"/>
        <v>1237</v>
      </c>
      <c r="E1247" s="194" t="s">
        <v>647</v>
      </c>
      <c r="F1247" s="198"/>
      <c r="G1247" s="193" t="s">
        <v>201</v>
      </c>
      <c r="H1247" s="193"/>
      <c r="I1247" s="211" t="s">
        <v>648</v>
      </c>
      <c r="J1247" s="221" t="s">
        <v>649</v>
      </c>
      <c r="K1247" s="221">
        <v>1308</v>
      </c>
      <c r="L1247" s="195" t="s">
        <v>81</v>
      </c>
      <c r="M1247" s="214" t="str">
        <f>LEFT(J1247,SEARCH(" ",J1247,1)-1)</f>
        <v>1308</v>
      </c>
      <c r="N1247" s="195" t="s">
        <v>650</v>
      </c>
      <c r="O1247" s="233">
        <f>1/60*1</f>
        <v>1.6666666666666666E-2</v>
      </c>
      <c r="P1247" s="195" t="s">
        <v>112</v>
      </c>
      <c r="Q1247" s="227">
        <f t="shared" ref="Q1247:Q1250" si="521">M1247*O1247</f>
        <v>21.8</v>
      </c>
      <c r="R1247" s="226">
        <v>1</v>
      </c>
      <c r="S1247" s="227">
        <f t="shared" si="520"/>
        <v>22.8</v>
      </c>
      <c r="T1247" s="203" t="s">
        <v>48</v>
      </c>
      <c r="U1247" s="183" t="str">
        <f t="shared" si="519"/>
        <v>22.8 Hrs</v>
      </c>
    </row>
    <row r="1248" spans="3:21" s="172" customFormat="1" ht="20.25" customHeight="1">
      <c r="C1248" s="185"/>
      <c r="D1248" s="190">
        <f t="shared" si="509"/>
        <v>1238</v>
      </c>
      <c r="E1248" s="194" t="s">
        <v>651</v>
      </c>
      <c r="F1248" s="198">
        <f t="shared" ref="F1248:F1250" si="522">D1247</f>
        <v>1237</v>
      </c>
      <c r="G1248" s="193" t="s">
        <v>201</v>
      </c>
      <c r="H1248" s="193"/>
      <c r="I1248" s="211" t="s">
        <v>652</v>
      </c>
      <c r="J1248" s="221" t="s">
        <v>649</v>
      </c>
      <c r="K1248" s="221">
        <v>1308</v>
      </c>
      <c r="L1248" s="195" t="s">
        <v>81</v>
      </c>
      <c r="M1248" s="214" t="str">
        <f>LEFT(J1248,SEARCH(" ",J1248,1)-1)</f>
        <v>1308</v>
      </c>
      <c r="N1248" s="195" t="s">
        <v>650</v>
      </c>
      <c r="O1248" s="233">
        <f>1/60*0.5</f>
        <v>8.3333333333333332E-3</v>
      </c>
      <c r="P1248" s="195" t="s">
        <v>112</v>
      </c>
      <c r="Q1248" s="227">
        <f t="shared" si="521"/>
        <v>10.9</v>
      </c>
      <c r="R1248" s="226">
        <v>1</v>
      </c>
      <c r="S1248" s="227">
        <f t="shared" si="520"/>
        <v>11.9</v>
      </c>
      <c r="T1248" s="203" t="s">
        <v>48</v>
      </c>
      <c r="U1248" s="183" t="str">
        <f t="shared" si="519"/>
        <v>11.9 Hrs</v>
      </c>
    </row>
    <row r="1249" spans="3:21" s="172" customFormat="1" ht="20.25" customHeight="1">
      <c r="C1249" s="185"/>
      <c r="D1249" s="190">
        <f t="shared" si="509"/>
        <v>1239</v>
      </c>
      <c r="E1249" s="194" t="s">
        <v>653</v>
      </c>
      <c r="F1249" s="198">
        <f t="shared" si="522"/>
        <v>1238</v>
      </c>
      <c r="G1249" s="193" t="s">
        <v>44</v>
      </c>
      <c r="H1249" s="193"/>
      <c r="I1249" s="211" t="s">
        <v>652</v>
      </c>
      <c r="J1249" s="221" t="s">
        <v>649</v>
      </c>
      <c r="K1249" s="221">
        <v>1308</v>
      </c>
      <c r="L1249" s="195" t="s">
        <v>81</v>
      </c>
      <c r="M1249" s="214" t="str">
        <f>LEFT(J1249,SEARCH(" ",J1249,1)-1)</f>
        <v>1308</v>
      </c>
      <c r="N1249" s="195" t="s">
        <v>654</v>
      </c>
      <c r="O1249" s="233">
        <f>1/60*2</f>
        <v>3.3333333333333333E-2</v>
      </c>
      <c r="P1249" s="195" t="s">
        <v>112</v>
      </c>
      <c r="Q1249" s="227">
        <f t="shared" si="521"/>
        <v>43.6</v>
      </c>
      <c r="R1249" s="226">
        <v>1</v>
      </c>
      <c r="S1249" s="227">
        <f t="shared" si="520"/>
        <v>44.6</v>
      </c>
      <c r="T1249" s="203" t="s">
        <v>48</v>
      </c>
      <c r="U1249" s="183" t="str">
        <f t="shared" si="519"/>
        <v>44.6 Hrs</v>
      </c>
    </row>
    <row r="1250" spans="3:21" s="172" customFormat="1" ht="20.25" customHeight="1">
      <c r="C1250" s="185"/>
      <c r="D1250" s="190">
        <f t="shared" si="509"/>
        <v>1240</v>
      </c>
      <c r="E1250" s="194" t="s">
        <v>655</v>
      </c>
      <c r="F1250" s="198">
        <f t="shared" si="522"/>
        <v>1239</v>
      </c>
      <c r="G1250" s="193" t="s">
        <v>656</v>
      </c>
      <c r="H1250" s="193"/>
      <c r="I1250" s="211" t="s">
        <v>657</v>
      </c>
      <c r="J1250" s="221" t="s">
        <v>658</v>
      </c>
      <c r="K1250" s="212">
        <v>2616</v>
      </c>
      <c r="L1250" s="195" t="s">
        <v>81</v>
      </c>
      <c r="M1250" s="214" t="str">
        <f>LEFT(J1250,SEARCH(" ",J1250,1)-1)</f>
        <v>2616</v>
      </c>
      <c r="N1250" s="195" t="s">
        <v>650</v>
      </c>
      <c r="O1250" s="233">
        <f>1/60*0.5</f>
        <v>8.3333333333333332E-3</v>
      </c>
      <c r="P1250" s="195" t="s">
        <v>112</v>
      </c>
      <c r="Q1250" s="227">
        <f t="shared" si="521"/>
        <v>21.8</v>
      </c>
      <c r="R1250" s="226">
        <v>1</v>
      </c>
      <c r="S1250" s="227">
        <f t="shared" si="520"/>
        <v>22.8</v>
      </c>
      <c r="T1250" s="203" t="s">
        <v>48</v>
      </c>
      <c r="U1250" s="183" t="str">
        <f t="shared" si="519"/>
        <v>22.8 Hrs</v>
      </c>
    </row>
    <row r="1251" spans="3:21" s="172" customFormat="1" ht="20.25" customHeight="1">
      <c r="C1251" s="185">
        <f>D1251</f>
        <v>1241</v>
      </c>
      <c r="D1251" s="190">
        <f t="shared" si="509"/>
        <v>1241</v>
      </c>
      <c r="E1251" s="191" t="s">
        <v>659</v>
      </c>
      <c r="F1251" s="197">
        <f>D1246</f>
        <v>1236</v>
      </c>
      <c r="G1251" s="193"/>
      <c r="H1251" s="193"/>
      <c r="I1251" s="195"/>
      <c r="J1251" s="195"/>
      <c r="K1251" s="221"/>
      <c r="L1251" s="195"/>
      <c r="M1251" s="204"/>
      <c r="N1251" s="195"/>
      <c r="O1251" s="205"/>
      <c r="P1251" s="195"/>
      <c r="Q1251" s="227"/>
      <c r="R1251" s="226"/>
      <c r="S1251" s="227"/>
      <c r="T1251" s="203"/>
      <c r="U1251" s="183"/>
    </row>
    <row r="1252" spans="3:21" s="172" customFormat="1" ht="20.25" customHeight="1">
      <c r="C1252" s="185"/>
      <c r="D1252" s="190">
        <f t="shared" si="509"/>
        <v>1242</v>
      </c>
      <c r="E1252" s="194" t="s">
        <v>660</v>
      </c>
      <c r="F1252" s="198"/>
      <c r="G1252" s="193" t="s">
        <v>656</v>
      </c>
      <c r="H1252" s="193"/>
      <c r="I1252" s="195"/>
      <c r="J1252" s="195"/>
      <c r="K1252" s="221">
        <v>1</v>
      </c>
      <c r="L1252" s="195" t="s">
        <v>39</v>
      </c>
      <c r="M1252" s="204">
        <v>1</v>
      </c>
      <c r="N1252" s="195" t="s">
        <v>661</v>
      </c>
      <c r="O1252" s="205">
        <v>4</v>
      </c>
      <c r="P1252" s="195" t="s">
        <v>112</v>
      </c>
      <c r="Q1252" s="227">
        <f t="shared" ref="Q1252:Q1254" si="523">M1252*O1252</f>
        <v>4</v>
      </c>
      <c r="R1252" s="226">
        <v>1</v>
      </c>
      <c r="S1252" s="227">
        <f t="shared" si="520"/>
        <v>5</v>
      </c>
      <c r="T1252" s="203" t="s">
        <v>48</v>
      </c>
      <c r="U1252" s="183" t="str">
        <f t="shared" si="519"/>
        <v>5 Hrs</v>
      </c>
    </row>
    <row r="1253" spans="3:21" s="172" customFormat="1" ht="20.25" customHeight="1">
      <c r="C1253" s="185"/>
      <c r="D1253" s="190">
        <f t="shared" si="509"/>
        <v>1243</v>
      </c>
      <c r="E1253" s="194" t="s">
        <v>662</v>
      </c>
      <c r="F1253" s="198">
        <f t="shared" ref="F1253:F1254" si="524">D1252</f>
        <v>1242</v>
      </c>
      <c r="G1253" s="193" t="s">
        <v>44</v>
      </c>
      <c r="H1253" s="193"/>
      <c r="I1253" s="195"/>
      <c r="J1253" s="195"/>
      <c r="K1253" s="221">
        <v>1</v>
      </c>
      <c r="L1253" s="195" t="s">
        <v>39</v>
      </c>
      <c r="M1253" s="204">
        <v>1</v>
      </c>
      <c r="N1253" s="195" t="s">
        <v>661</v>
      </c>
      <c r="O1253" s="205">
        <v>1</v>
      </c>
      <c r="P1253" s="195" t="s">
        <v>41</v>
      </c>
      <c r="Q1253" s="227">
        <f t="shared" si="523"/>
        <v>1</v>
      </c>
      <c r="R1253" s="226"/>
      <c r="S1253" s="227">
        <f t="shared" si="520"/>
        <v>1</v>
      </c>
      <c r="T1253" s="203" t="s">
        <v>48</v>
      </c>
      <c r="U1253" s="183" t="str">
        <f t="shared" si="519"/>
        <v>1 Hrs</v>
      </c>
    </row>
    <row r="1254" spans="3:21" s="172" customFormat="1" ht="20.25" customHeight="1">
      <c r="C1254" s="185"/>
      <c r="D1254" s="190">
        <f t="shared" si="509"/>
        <v>1244</v>
      </c>
      <c r="E1254" s="194" t="s">
        <v>663</v>
      </c>
      <c r="F1254" s="198">
        <f t="shared" si="524"/>
        <v>1243</v>
      </c>
      <c r="G1254" s="193" t="s">
        <v>224</v>
      </c>
      <c r="H1254" s="193"/>
      <c r="I1254" s="195"/>
      <c r="J1254" s="195"/>
      <c r="K1254" s="221">
        <v>1</v>
      </c>
      <c r="L1254" s="195" t="s">
        <v>39</v>
      </c>
      <c r="M1254" s="204">
        <v>1</v>
      </c>
      <c r="N1254" s="195" t="s">
        <v>39</v>
      </c>
      <c r="O1254" s="205">
        <v>1</v>
      </c>
      <c r="P1254" s="195" t="s">
        <v>162</v>
      </c>
      <c r="Q1254" s="227">
        <f t="shared" si="523"/>
        <v>1</v>
      </c>
      <c r="R1254" s="226"/>
      <c r="S1254" s="227">
        <f t="shared" si="520"/>
        <v>1</v>
      </c>
      <c r="T1254" s="203" t="s">
        <v>48</v>
      </c>
      <c r="U1254" s="183" t="str">
        <f t="shared" si="519"/>
        <v>1 Hrs</v>
      </c>
    </row>
    <row r="1255" spans="3:21" s="172" customFormat="1" ht="20.25" customHeight="1">
      <c r="C1255" s="185">
        <f>D1255</f>
        <v>1245</v>
      </c>
      <c r="D1255" s="190">
        <f t="shared" si="509"/>
        <v>1245</v>
      </c>
      <c r="E1255" s="191" t="s">
        <v>704</v>
      </c>
      <c r="F1255" s="197">
        <f>D1251</f>
        <v>1241</v>
      </c>
      <c r="G1255" s="193"/>
      <c r="H1255" s="193"/>
      <c r="I1255" s="195"/>
      <c r="J1255" s="195"/>
      <c r="K1255" s="221"/>
      <c r="L1255" s="195"/>
      <c r="M1255" s="204"/>
      <c r="N1255" s="195"/>
      <c r="O1255" s="205"/>
      <c r="P1255" s="195"/>
      <c r="Q1255" s="227"/>
      <c r="R1255" s="226"/>
      <c r="S1255" s="227"/>
      <c r="T1255" s="203"/>
      <c r="U1255" s="183"/>
    </row>
    <row r="1256" spans="3:21" s="172" customFormat="1" ht="20.25" customHeight="1">
      <c r="C1256" s="185"/>
      <c r="D1256" s="190">
        <f t="shared" si="509"/>
        <v>1246</v>
      </c>
      <c r="E1256" s="194" t="s">
        <v>705</v>
      </c>
      <c r="F1256" s="198"/>
      <c r="G1256" s="193" t="s">
        <v>666</v>
      </c>
      <c r="H1256" s="193"/>
      <c r="I1256" s="211">
        <v>2.77</v>
      </c>
      <c r="J1256" s="221" t="s">
        <v>667</v>
      </c>
      <c r="K1256" s="221">
        <v>1308</v>
      </c>
      <c r="L1256" s="195" t="s">
        <v>81</v>
      </c>
      <c r="M1256" s="222">
        <f>K1256</f>
        <v>1308</v>
      </c>
      <c r="N1256" s="195" t="s">
        <v>668</v>
      </c>
      <c r="O1256" s="233">
        <f>1/60*5</f>
        <v>8.3333333333333329E-2</v>
      </c>
      <c r="P1256" s="195" t="s">
        <v>112</v>
      </c>
      <c r="Q1256" s="227">
        <f t="shared" ref="Q1256:Q1259" si="525">M1256*O1256</f>
        <v>109</v>
      </c>
      <c r="R1256" s="226">
        <v>1</v>
      </c>
      <c r="S1256" s="227">
        <f t="shared" si="520"/>
        <v>110</v>
      </c>
      <c r="T1256" s="203" t="s">
        <v>48</v>
      </c>
      <c r="U1256" s="183" t="str">
        <f t="shared" si="519"/>
        <v>110 Hrs</v>
      </c>
    </row>
    <row r="1257" spans="3:21" s="172" customFormat="1" ht="20.25" customHeight="1">
      <c r="C1257" s="185"/>
      <c r="D1257" s="190">
        <f t="shared" si="509"/>
        <v>1247</v>
      </c>
      <c r="E1257" s="194" t="s">
        <v>706</v>
      </c>
      <c r="F1257" s="198">
        <f t="shared" ref="F1257:F1259" si="526">D1256</f>
        <v>1246</v>
      </c>
      <c r="G1257" s="193" t="s">
        <v>44</v>
      </c>
      <c r="H1257" s="193"/>
      <c r="I1257" s="211">
        <v>2.77</v>
      </c>
      <c r="J1257" s="195"/>
      <c r="K1257" s="221">
        <v>1308</v>
      </c>
      <c r="L1257" s="195" t="s">
        <v>81</v>
      </c>
      <c r="M1257" s="204">
        <v>1</v>
      </c>
      <c r="N1257" s="195" t="s">
        <v>39</v>
      </c>
      <c r="O1257" s="205">
        <v>8</v>
      </c>
      <c r="P1257" s="195" t="s">
        <v>112</v>
      </c>
      <c r="Q1257" s="227">
        <f t="shared" si="525"/>
        <v>8</v>
      </c>
      <c r="R1257" s="226">
        <v>1</v>
      </c>
      <c r="S1257" s="227">
        <f t="shared" si="520"/>
        <v>9</v>
      </c>
      <c r="T1257" s="203" t="s">
        <v>48</v>
      </c>
      <c r="U1257" s="183" t="str">
        <f t="shared" si="519"/>
        <v>9 Hrs</v>
      </c>
    </row>
    <row r="1258" spans="3:21" s="172" customFormat="1" ht="20.25" customHeight="1">
      <c r="C1258" s="185"/>
      <c r="D1258" s="190">
        <f t="shared" si="509"/>
        <v>1248</v>
      </c>
      <c r="E1258" s="194" t="s">
        <v>707</v>
      </c>
      <c r="F1258" s="198">
        <f t="shared" si="526"/>
        <v>1247</v>
      </c>
      <c r="G1258" s="193" t="s">
        <v>666</v>
      </c>
      <c r="H1258" s="193"/>
      <c r="I1258" s="211">
        <v>2.77</v>
      </c>
      <c r="J1258" s="195"/>
      <c r="K1258" s="221">
        <v>1308</v>
      </c>
      <c r="L1258" s="195" t="s">
        <v>81</v>
      </c>
      <c r="M1258" s="222">
        <f>K1258</f>
        <v>1308</v>
      </c>
      <c r="N1258" s="195" t="s">
        <v>668</v>
      </c>
      <c r="O1258" s="233">
        <f>1/60*5</f>
        <v>8.3333333333333329E-2</v>
      </c>
      <c r="P1258" s="195" t="s">
        <v>112</v>
      </c>
      <c r="Q1258" s="227">
        <f t="shared" si="525"/>
        <v>109</v>
      </c>
      <c r="R1258" s="226">
        <v>1</v>
      </c>
      <c r="S1258" s="227">
        <f t="shared" si="520"/>
        <v>110</v>
      </c>
      <c r="T1258" s="203" t="s">
        <v>48</v>
      </c>
      <c r="U1258" s="183" t="str">
        <f t="shared" si="519"/>
        <v>110 Hrs</v>
      </c>
    </row>
    <row r="1259" spans="3:21" s="172" customFormat="1" ht="20.25" customHeight="1">
      <c r="C1259" s="185"/>
      <c r="D1259" s="190">
        <f t="shared" si="509"/>
        <v>1249</v>
      </c>
      <c r="E1259" s="194" t="s">
        <v>708</v>
      </c>
      <c r="F1259" s="198">
        <f t="shared" si="526"/>
        <v>1248</v>
      </c>
      <c r="G1259" s="193" t="s">
        <v>44</v>
      </c>
      <c r="H1259" s="193"/>
      <c r="I1259" s="211">
        <v>2.77</v>
      </c>
      <c r="J1259" s="195"/>
      <c r="K1259" s="221">
        <v>1308</v>
      </c>
      <c r="L1259" s="195" t="s">
        <v>81</v>
      </c>
      <c r="M1259" s="204">
        <v>1</v>
      </c>
      <c r="N1259" s="195" t="s">
        <v>39</v>
      </c>
      <c r="O1259" s="205">
        <v>8</v>
      </c>
      <c r="P1259" s="195" t="s">
        <v>112</v>
      </c>
      <c r="Q1259" s="227">
        <f t="shared" si="525"/>
        <v>8</v>
      </c>
      <c r="R1259" s="226">
        <v>1</v>
      </c>
      <c r="S1259" s="227">
        <f t="shared" si="520"/>
        <v>9</v>
      </c>
      <c r="T1259" s="203" t="s">
        <v>48</v>
      </c>
      <c r="U1259" s="183" t="str">
        <f t="shared" si="519"/>
        <v>9 Hrs</v>
      </c>
    </row>
    <row r="1260" spans="3:21" s="172" customFormat="1" ht="20.25" customHeight="1">
      <c r="C1260" s="185">
        <f>D1260</f>
        <v>1250</v>
      </c>
      <c r="D1260" s="190">
        <f t="shared" si="509"/>
        <v>1250</v>
      </c>
      <c r="E1260" s="191" t="s">
        <v>672</v>
      </c>
      <c r="F1260" s="197">
        <f>D1255</f>
        <v>1245</v>
      </c>
      <c r="G1260" s="193"/>
      <c r="H1260" s="193"/>
      <c r="I1260" s="195"/>
      <c r="J1260" s="195"/>
      <c r="K1260" s="221"/>
      <c r="L1260" s="195"/>
      <c r="M1260" s="204"/>
      <c r="N1260" s="195"/>
      <c r="O1260" s="205"/>
      <c r="P1260" s="195"/>
      <c r="Q1260" s="227"/>
      <c r="R1260" s="226"/>
      <c r="S1260" s="227"/>
      <c r="T1260" s="203"/>
      <c r="U1260" s="183"/>
    </row>
    <row r="1261" spans="3:21" s="172" customFormat="1" ht="20.25" customHeight="1">
      <c r="C1261" s="185"/>
      <c r="D1261" s="190">
        <f t="shared" si="509"/>
        <v>1251</v>
      </c>
      <c r="E1261" s="194" t="s">
        <v>709</v>
      </c>
      <c r="F1261" s="198"/>
      <c r="G1261" s="193" t="s">
        <v>666</v>
      </c>
      <c r="H1261" s="193"/>
      <c r="I1261" s="211">
        <v>2.77</v>
      </c>
      <c r="J1261" s="195"/>
      <c r="K1261" s="221">
        <v>1308</v>
      </c>
      <c r="L1261" s="195" t="s">
        <v>81</v>
      </c>
      <c r="M1261" s="222">
        <f>K1261</f>
        <v>1308</v>
      </c>
      <c r="N1261" s="195" t="s">
        <v>668</v>
      </c>
      <c r="O1261" s="233">
        <f>1/60*5</f>
        <v>8.3333333333333329E-2</v>
      </c>
      <c r="P1261" s="195" t="s">
        <v>112</v>
      </c>
      <c r="Q1261" s="227">
        <f t="shared" ref="Q1261:Q1264" si="527">M1261*O1261</f>
        <v>109</v>
      </c>
      <c r="R1261" s="226">
        <v>1</v>
      </c>
      <c r="S1261" s="227">
        <f t="shared" si="520"/>
        <v>110</v>
      </c>
      <c r="T1261" s="203" t="s">
        <v>48</v>
      </c>
      <c r="U1261" s="183" t="str">
        <f t="shared" si="519"/>
        <v>110 Hrs</v>
      </c>
    </row>
    <row r="1262" spans="3:21" s="172" customFormat="1" ht="20.25" customHeight="1">
      <c r="C1262" s="185"/>
      <c r="D1262" s="190">
        <f t="shared" si="509"/>
        <v>1252</v>
      </c>
      <c r="E1262" s="194" t="s">
        <v>710</v>
      </c>
      <c r="F1262" s="198">
        <f t="shared" ref="F1262:F1264" si="528">D1261</f>
        <v>1251</v>
      </c>
      <c r="G1262" s="193" t="s">
        <v>44</v>
      </c>
      <c r="H1262" s="193"/>
      <c r="I1262" s="211">
        <v>2.77</v>
      </c>
      <c r="J1262" s="195"/>
      <c r="K1262" s="221">
        <v>1308</v>
      </c>
      <c r="L1262" s="195" t="s">
        <v>81</v>
      </c>
      <c r="M1262" s="204">
        <v>1</v>
      </c>
      <c r="N1262" s="195" t="s">
        <v>39</v>
      </c>
      <c r="O1262" s="205">
        <v>8</v>
      </c>
      <c r="P1262" s="195" t="s">
        <v>112</v>
      </c>
      <c r="Q1262" s="227">
        <f t="shared" si="527"/>
        <v>8</v>
      </c>
      <c r="R1262" s="226">
        <v>1</v>
      </c>
      <c r="S1262" s="227">
        <f t="shared" si="520"/>
        <v>9</v>
      </c>
      <c r="T1262" s="203" t="s">
        <v>48</v>
      </c>
      <c r="U1262" s="183" t="str">
        <f t="shared" si="519"/>
        <v>9 Hrs</v>
      </c>
    </row>
    <row r="1263" spans="3:21" s="172" customFormat="1" ht="20.25" customHeight="1">
      <c r="C1263" s="185"/>
      <c r="D1263" s="190">
        <f t="shared" si="509"/>
        <v>1253</v>
      </c>
      <c r="E1263" s="194" t="s">
        <v>711</v>
      </c>
      <c r="F1263" s="198">
        <f t="shared" si="528"/>
        <v>1252</v>
      </c>
      <c r="G1263" s="193" t="s">
        <v>666</v>
      </c>
      <c r="H1263" s="193"/>
      <c r="I1263" s="211">
        <v>2.77</v>
      </c>
      <c r="J1263" s="195"/>
      <c r="K1263" s="221">
        <v>1308</v>
      </c>
      <c r="L1263" s="195" t="s">
        <v>81</v>
      </c>
      <c r="M1263" s="222">
        <f>K1263</f>
        <v>1308</v>
      </c>
      <c r="N1263" s="195" t="s">
        <v>668</v>
      </c>
      <c r="O1263" s="233">
        <f>1/60*5</f>
        <v>8.3333333333333329E-2</v>
      </c>
      <c r="P1263" s="195" t="s">
        <v>112</v>
      </c>
      <c r="Q1263" s="227">
        <f t="shared" si="527"/>
        <v>109</v>
      </c>
      <c r="R1263" s="226">
        <v>1</v>
      </c>
      <c r="S1263" s="227">
        <f t="shared" si="520"/>
        <v>110</v>
      </c>
      <c r="T1263" s="203" t="s">
        <v>48</v>
      </c>
      <c r="U1263" s="183" t="str">
        <f t="shared" si="519"/>
        <v>110 Hrs</v>
      </c>
    </row>
    <row r="1264" spans="3:21" s="172" customFormat="1" ht="20.25" customHeight="1">
      <c r="C1264" s="185"/>
      <c r="D1264" s="190">
        <f t="shared" si="509"/>
        <v>1254</v>
      </c>
      <c r="E1264" s="194" t="s">
        <v>712</v>
      </c>
      <c r="F1264" s="198">
        <f t="shared" si="528"/>
        <v>1253</v>
      </c>
      <c r="G1264" s="193" t="s">
        <v>44</v>
      </c>
      <c r="H1264" s="193"/>
      <c r="I1264" s="211">
        <v>2.77</v>
      </c>
      <c r="J1264" s="195"/>
      <c r="K1264" s="221">
        <v>1308</v>
      </c>
      <c r="L1264" s="195" t="s">
        <v>81</v>
      </c>
      <c r="M1264" s="204">
        <v>1</v>
      </c>
      <c r="N1264" s="195" t="s">
        <v>39</v>
      </c>
      <c r="O1264" s="205">
        <v>8</v>
      </c>
      <c r="P1264" s="195" t="s">
        <v>112</v>
      </c>
      <c r="Q1264" s="227">
        <f t="shared" si="527"/>
        <v>8</v>
      </c>
      <c r="R1264" s="226">
        <v>1</v>
      </c>
      <c r="S1264" s="227">
        <f t="shared" si="520"/>
        <v>9</v>
      </c>
      <c r="T1264" s="203" t="s">
        <v>48</v>
      </c>
      <c r="U1264" s="183" t="str">
        <f t="shared" si="519"/>
        <v>9 Hrs</v>
      </c>
    </row>
    <row r="1265" spans="3:21" s="172" customFormat="1" ht="20.25" customHeight="1">
      <c r="C1265" s="185">
        <f t="shared" ref="C1265:C1266" si="529">D1265</f>
        <v>1255</v>
      </c>
      <c r="D1265" s="190">
        <f t="shared" si="509"/>
        <v>1255</v>
      </c>
      <c r="E1265" s="196" t="s">
        <v>713</v>
      </c>
      <c r="F1265" s="197">
        <f>D1260</f>
        <v>1250</v>
      </c>
      <c r="G1265" s="193"/>
      <c r="H1265" s="193"/>
      <c r="I1265" s="195"/>
      <c r="J1265" s="195"/>
      <c r="K1265" s="221"/>
      <c r="L1265" s="195"/>
      <c r="M1265" s="204"/>
      <c r="N1265" s="195"/>
      <c r="O1265" s="205"/>
      <c r="P1265" s="195"/>
      <c r="Q1265" s="227"/>
      <c r="R1265" s="226"/>
      <c r="S1265" s="227"/>
      <c r="T1265" s="203"/>
      <c r="U1265" s="183"/>
    </row>
    <row r="1266" spans="3:21" s="172" customFormat="1" ht="20.25" customHeight="1">
      <c r="C1266" s="185">
        <f t="shared" si="529"/>
        <v>1256</v>
      </c>
      <c r="D1266" s="190">
        <f t="shared" si="509"/>
        <v>1256</v>
      </c>
      <c r="E1266" s="194" t="s">
        <v>678</v>
      </c>
      <c r="F1266" s="198"/>
      <c r="G1266" s="193"/>
      <c r="H1266" s="193"/>
      <c r="I1266" s="195"/>
      <c r="J1266" s="195"/>
      <c r="K1266" s="221"/>
      <c r="L1266" s="195"/>
      <c r="M1266" s="204"/>
      <c r="N1266" s="195"/>
      <c r="O1266" s="205"/>
      <c r="P1266" s="195"/>
      <c r="Q1266" s="227"/>
      <c r="R1266" s="226"/>
      <c r="S1266" s="227"/>
      <c r="T1266" s="203"/>
      <c r="U1266" s="183"/>
    </row>
    <row r="1267" spans="3:21" s="172" customFormat="1" ht="20.25" customHeight="1">
      <c r="C1267" s="185"/>
      <c r="D1267" s="190">
        <f t="shared" si="509"/>
        <v>1257</v>
      </c>
      <c r="E1267" s="194" t="s">
        <v>713</v>
      </c>
      <c r="F1267" s="198">
        <f>D1266</f>
        <v>1256</v>
      </c>
      <c r="G1267" s="193" t="s">
        <v>656</v>
      </c>
      <c r="H1267" s="193"/>
      <c r="I1267" s="195"/>
      <c r="J1267" s="221" t="s">
        <v>407</v>
      </c>
      <c r="K1267" s="221">
        <v>1</v>
      </c>
      <c r="L1267" s="195" t="s">
        <v>39</v>
      </c>
      <c r="M1267" s="204">
        <v>1</v>
      </c>
      <c r="N1267" s="195" t="s">
        <v>661</v>
      </c>
      <c r="O1267" s="205">
        <v>12</v>
      </c>
      <c r="P1267" s="195" t="s">
        <v>112</v>
      </c>
      <c r="Q1267" s="227">
        <f t="shared" ref="Q1267:Q1269" si="530">M1267*O1267</f>
        <v>12</v>
      </c>
      <c r="R1267" s="226">
        <v>1</v>
      </c>
      <c r="S1267" s="227">
        <f t="shared" si="520"/>
        <v>13</v>
      </c>
      <c r="T1267" s="203" t="s">
        <v>48</v>
      </c>
      <c r="U1267" s="183" t="str">
        <f t="shared" si="519"/>
        <v>13 Hrs</v>
      </c>
    </row>
    <row r="1268" spans="3:21" s="172" customFormat="1" ht="20.25" customHeight="1">
      <c r="C1268" s="185"/>
      <c r="D1268" s="190">
        <f t="shared" si="509"/>
        <v>1258</v>
      </c>
      <c r="E1268" s="194" t="s">
        <v>679</v>
      </c>
      <c r="F1268" s="198">
        <f t="shared" ref="F1268:F1269" si="531">D1267</f>
        <v>1257</v>
      </c>
      <c r="G1268" s="193" t="s">
        <v>348</v>
      </c>
      <c r="H1268" s="193"/>
      <c r="I1268" s="195"/>
      <c r="J1268" s="221" t="str">
        <f>J1267</f>
        <v>6130 lg</v>
      </c>
      <c r="K1268" s="221">
        <v>1</v>
      </c>
      <c r="L1268" s="195" t="s">
        <v>39</v>
      </c>
      <c r="M1268" s="204">
        <v>1</v>
      </c>
      <c r="N1268" s="195" t="s">
        <v>661</v>
      </c>
      <c r="O1268" s="205">
        <v>1</v>
      </c>
      <c r="P1268" s="195" t="s">
        <v>41</v>
      </c>
      <c r="Q1268" s="227">
        <f t="shared" si="530"/>
        <v>1</v>
      </c>
      <c r="R1268" s="226">
        <v>0</v>
      </c>
      <c r="S1268" s="227">
        <f t="shared" si="520"/>
        <v>1</v>
      </c>
      <c r="T1268" s="203" t="s">
        <v>48</v>
      </c>
      <c r="U1268" s="183" t="str">
        <f t="shared" si="519"/>
        <v>1 Hrs</v>
      </c>
    </row>
    <row r="1269" spans="3:21" s="172" customFormat="1" ht="20.25" customHeight="1">
      <c r="C1269" s="185"/>
      <c r="D1269" s="190">
        <f t="shared" si="509"/>
        <v>1259</v>
      </c>
      <c r="E1269" s="194" t="s">
        <v>680</v>
      </c>
      <c r="F1269" s="198">
        <f t="shared" si="531"/>
        <v>1258</v>
      </c>
      <c r="G1269" s="193" t="s">
        <v>640</v>
      </c>
      <c r="H1269" s="193"/>
      <c r="I1269" s="195"/>
      <c r="J1269" s="221" t="str">
        <f>J1268</f>
        <v>6130 lg</v>
      </c>
      <c r="K1269" s="221">
        <v>1</v>
      </c>
      <c r="L1269" s="195" t="s">
        <v>39</v>
      </c>
      <c r="M1269" s="204">
        <v>1</v>
      </c>
      <c r="N1269" s="195" t="s">
        <v>661</v>
      </c>
      <c r="O1269" s="205">
        <v>4</v>
      </c>
      <c r="P1269" s="195" t="s">
        <v>112</v>
      </c>
      <c r="Q1269" s="227">
        <f t="shared" si="530"/>
        <v>4</v>
      </c>
      <c r="R1269" s="226">
        <v>0</v>
      </c>
      <c r="S1269" s="227">
        <f t="shared" si="520"/>
        <v>4</v>
      </c>
      <c r="T1269" s="203" t="s">
        <v>48</v>
      </c>
      <c r="U1269" s="183" t="str">
        <f t="shared" si="519"/>
        <v>4 Hrs</v>
      </c>
    </row>
    <row r="1270" spans="3:21" s="172" customFormat="1" ht="20.25" customHeight="1">
      <c r="C1270" s="185">
        <f t="shared" ref="C1270" si="532">D1270</f>
        <v>1260</v>
      </c>
      <c r="D1270" s="190">
        <f t="shared" si="509"/>
        <v>1260</v>
      </c>
      <c r="E1270" s="191" t="s">
        <v>714</v>
      </c>
      <c r="F1270" s="197"/>
      <c r="G1270" s="193"/>
      <c r="H1270" s="193"/>
      <c r="I1270" s="195"/>
      <c r="J1270" s="195"/>
      <c r="K1270" s="221"/>
      <c r="L1270" s="195"/>
      <c r="M1270" s="204"/>
      <c r="N1270" s="195"/>
      <c r="O1270" s="205"/>
      <c r="P1270" s="195"/>
      <c r="Q1270" s="227"/>
      <c r="R1270" s="226"/>
      <c r="S1270" s="227"/>
      <c r="T1270" s="203"/>
      <c r="U1270" s="183"/>
    </row>
    <row r="1271" spans="3:21" s="172" customFormat="1" ht="20.25" customHeight="1">
      <c r="C1271" s="185"/>
      <c r="D1271" s="190">
        <f t="shared" ref="D1271:D1278" si="533">D1270+1</f>
        <v>1261</v>
      </c>
      <c r="E1271" s="194" t="s">
        <v>715</v>
      </c>
      <c r="F1271" s="198"/>
      <c r="G1271" s="193" t="s">
        <v>201</v>
      </c>
      <c r="H1271" s="193"/>
      <c r="I1271" s="195"/>
      <c r="J1271" s="195"/>
      <c r="K1271" s="221">
        <v>1</v>
      </c>
      <c r="L1271" s="195" t="s">
        <v>84</v>
      </c>
      <c r="M1271" s="204">
        <v>1</v>
      </c>
      <c r="N1271" s="195"/>
      <c r="O1271" s="205">
        <v>16</v>
      </c>
      <c r="P1271" s="195" t="s">
        <v>112</v>
      </c>
      <c r="Q1271" s="227">
        <f t="shared" ref="Q1271:Q1288" si="534">M1271*O1271</f>
        <v>16</v>
      </c>
      <c r="R1271" s="226">
        <v>1</v>
      </c>
      <c r="S1271" s="227">
        <f t="shared" si="520"/>
        <v>17</v>
      </c>
      <c r="T1271" s="203" t="s">
        <v>48</v>
      </c>
      <c r="U1271" s="183" t="str">
        <f t="shared" si="519"/>
        <v>17 Hrs</v>
      </c>
    </row>
    <row r="1272" spans="3:21" s="172" customFormat="1" ht="20.25" customHeight="1">
      <c r="C1272" s="185"/>
      <c r="D1272" s="190">
        <f t="shared" si="533"/>
        <v>1262</v>
      </c>
      <c r="E1272" s="194" t="s">
        <v>716</v>
      </c>
      <c r="F1272" s="198">
        <f>D1271</f>
        <v>1261</v>
      </c>
      <c r="G1272" s="193" t="s">
        <v>656</v>
      </c>
      <c r="H1272" s="193"/>
      <c r="I1272" s="195"/>
      <c r="J1272" s="221" t="s">
        <v>717</v>
      </c>
      <c r="K1272" s="221">
        <v>1</v>
      </c>
      <c r="L1272" s="195" t="s">
        <v>84</v>
      </c>
      <c r="M1272" s="204">
        <v>1</v>
      </c>
      <c r="N1272" s="195" t="s">
        <v>661</v>
      </c>
      <c r="O1272" s="205">
        <v>12</v>
      </c>
      <c r="P1272" s="195" t="s">
        <v>112</v>
      </c>
      <c r="Q1272" s="227">
        <f t="shared" si="534"/>
        <v>12</v>
      </c>
      <c r="R1272" s="226">
        <v>1</v>
      </c>
      <c r="S1272" s="227">
        <f t="shared" si="520"/>
        <v>13</v>
      </c>
      <c r="T1272" s="203" t="s">
        <v>48</v>
      </c>
      <c r="U1272" s="183" t="str">
        <f t="shared" si="519"/>
        <v>13 Hrs</v>
      </c>
    </row>
    <row r="1273" spans="3:21" s="172" customFormat="1" ht="20.25" customHeight="1">
      <c r="C1273" s="185"/>
      <c r="D1273" s="190">
        <f t="shared" si="533"/>
        <v>1263</v>
      </c>
      <c r="E1273" s="194" t="s">
        <v>718</v>
      </c>
      <c r="F1273" s="198">
        <f>D1272</f>
        <v>1262</v>
      </c>
      <c r="G1273" s="193" t="s">
        <v>348</v>
      </c>
      <c r="H1273" s="193"/>
      <c r="I1273" s="195"/>
      <c r="J1273" s="221" t="s">
        <v>717</v>
      </c>
      <c r="K1273" s="221">
        <v>1</v>
      </c>
      <c r="L1273" s="195" t="s">
        <v>84</v>
      </c>
      <c r="M1273" s="204">
        <v>1</v>
      </c>
      <c r="N1273" s="195" t="s">
        <v>661</v>
      </c>
      <c r="O1273" s="205">
        <v>1</v>
      </c>
      <c r="P1273" s="195" t="s">
        <v>41</v>
      </c>
      <c r="Q1273" s="227">
        <f t="shared" si="534"/>
        <v>1</v>
      </c>
      <c r="R1273" s="226">
        <v>0</v>
      </c>
      <c r="S1273" s="227">
        <f t="shared" si="520"/>
        <v>1</v>
      </c>
      <c r="T1273" s="203" t="s">
        <v>42</v>
      </c>
      <c r="U1273" s="183" t="str">
        <f t="shared" si="519"/>
        <v>1 Days</v>
      </c>
    </row>
    <row r="1274" spans="3:21" s="172" customFormat="1" ht="20.25" customHeight="1">
      <c r="C1274" s="185"/>
      <c r="D1274" s="190">
        <f t="shared" si="533"/>
        <v>1264</v>
      </c>
      <c r="E1274" s="194" t="s">
        <v>719</v>
      </c>
      <c r="F1274" s="198">
        <f>D1273</f>
        <v>1263</v>
      </c>
      <c r="G1274" s="193" t="s">
        <v>640</v>
      </c>
      <c r="H1274" s="193"/>
      <c r="I1274" s="195"/>
      <c r="J1274" s="221" t="s">
        <v>717</v>
      </c>
      <c r="K1274" s="221">
        <v>1</v>
      </c>
      <c r="L1274" s="195" t="s">
        <v>84</v>
      </c>
      <c r="M1274" s="204">
        <v>1</v>
      </c>
      <c r="N1274" s="195" t="s">
        <v>661</v>
      </c>
      <c r="O1274" s="205">
        <v>12</v>
      </c>
      <c r="P1274" s="195" t="s">
        <v>112</v>
      </c>
      <c r="Q1274" s="227">
        <f t="shared" si="534"/>
        <v>12</v>
      </c>
      <c r="R1274" s="226">
        <v>0</v>
      </c>
      <c r="S1274" s="227">
        <f t="shared" si="520"/>
        <v>12</v>
      </c>
      <c r="T1274" s="203" t="s">
        <v>48</v>
      </c>
      <c r="U1274" s="183" t="str">
        <f t="shared" si="519"/>
        <v>12 Hrs</v>
      </c>
    </row>
    <row r="1275" spans="3:21" s="172" customFormat="1" ht="20.25" customHeight="1">
      <c r="C1275" s="185"/>
      <c r="D1275" s="190">
        <f t="shared" si="533"/>
        <v>1265</v>
      </c>
      <c r="E1275" s="194" t="s">
        <v>720</v>
      </c>
      <c r="F1275" s="198">
        <f>D1274</f>
        <v>1264</v>
      </c>
      <c r="G1275" s="193" t="s">
        <v>640</v>
      </c>
      <c r="H1275" s="193"/>
      <c r="I1275" s="195"/>
      <c r="J1275" s="221" t="s">
        <v>717</v>
      </c>
      <c r="K1275" s="221">
        <v>1</v>
      </c>
      <c r="L1275" s="195" t="s">
        <v>84</v>
      </c>
      <c r="M1275" s="204">
        <v>1</v>
      </c>
      <c r="N1275" s="195" t="s">
        <v>661</v>
      </c>
      <c r="O1275" s="205">
        <v>1</v>
      </c>
      <c r="P1275" s="195" t="s">
        <v>41</v>
      </c>
      <c r="Q1275" s="227">
        <f t="shared" si="534"/>
        <v>1</v>
      </c>
      <c r="R1275" s="226">
        <v>0</v>
      </c>
      <c r="S1275" s="227">
        <f t="shared" si="520"/>
        <v>1</v>
      </c>
      <c r="T1275" s="203" t="s">
        <v>42</v>
      </c>
      <c r="U1275" s="183" t="str">
        <f t="shared" si="519"/>
        <v>1 Days</v>
      </c>
    </row>
    <row r="1276" spans="3:21" s="172" customFormat="1" ht="20.25" customHeight="1">
      <c r="C1276" s="185"/>
      <c r="D1276" s="190">
        <f t="shared" si="533"/>
        <v>1266</v>
      </c>
      <c r="E1276" s="194" t="s">
        <v>721</v>
      </c>
      <c r="F1276" s="198">
        <f>D1275</f>
        <v>1265</v>
      </c>
      <c r="G1276" s="193" t="s">
        <v>640</v>
      </c>
      <c r="H1276" s="193"/>
      <c r="I1276" s="195"/>
      <c r="J1276" s="221" t="s">
        <v>717</v>
      </c>
      <c r="K1276" s="221">
        <v>1</v>
      </c>
      <c r="L1276" s="195" t="s">
        <v>84</v>
      </c>
      <c r="M1276" s="204">
        <v>1</v>
      </c>
      <c r="N1276" s="195" t="s">
        <v>661</v>
      </c>
      <c r="O1276" s="205">
        <v>6</v>
      </c>
      <c r="P1276" s="195" t="s">
        <v>112</v>
      </c>
      <c r="Q1276" s="227">
        <f t="shared" si="534"/>
        <v>6</v>
      </c>
      <c r="R1276" s="226">
        <v>0</v>
      </c>
      <c r="S1276" s="227">
        <f t="shared" si="520"/>
        <v>6</v>
      </c>
      <c r="T1276" s="203" t="s">
        <v>48</v>
      </c>
      <c r="U1276" s="183" t="str">
        <f t="shared" si="519"/>
        <v>6 Hrs</v>
      </c>
    </row>
    <row r="1277" spans="3:21" s="172" customFormat="1" ht="21" customHeight="1">
      <c r="C1277" s="185">
        <f>D1277</f>
        <v>1267</v>
      </c>
      <c r="D1277" s="190">
        <f t="shared" si="533"/>
        <v>1267</v>
      </c>
      <c r="E1277" s="191" t="s">
        <v>722</v>
      </c>
      <c r="F1277" s="197">
        <f>D1270</f>
        <v>1260</v>
      </c>
      <c r="G1277" s="193"/>
      <c r="H1277" s="193"/>
      <c r="I1277" s="195"/>
      <c r="J1277" s="195"/>
      <c r="K1277" s="221"/>
      <c r="L1277" s="195"/>
      <c r="M1277" s="204"/>
      <c r="N1277" s="195"/>
      <c r="O1277" s="205"/>
      <c r="P1277" s="195"/>
      <c r="Q1277" s="227"/>
      <c r="R1277" s="226"/>
      <c r="S1277" s="227"/>
      <c r="T1277" s="203"/>
      <c r="U1277" s="183"/>
    </row>
    <row r="1278" spans="3:21" s="172" customFormat="1" ht="21" customHeight="1">
      <c r="C1278" s="185"/>
      <c r="D1278" s="190">
        <f t="shared" si="533"/>
        <v>1268</v>
      </c>
      <c r="E1278" s="194" t="s">
        <v>723</v>
      </c>
      <c r="F1278" s="198"/>
      <c r="G1278" s="193" t="s">
        <v>640</v>
      </c>
      <c r="H1278" s="193"/>
      <c r="I1278" s="195"/>
      <c r="J1278" s="221" t="s">
        <v>717</v>
      </c>
      <c r="K1278" s="221">
        <v>1</v>
      </c>
      <c r="L1278" s="195" t="s">
        <v>84</v>
      </c>
      <c r="M1278" s="204">
        <v>1</v>
      </c>
      <c r="N1278" s="195" t="s">
        <v>661</v>
      </c>
      <c r="O1278" s="205">
        <v>16</v>
      </c>
      <c r="P1278" s="195" t="s">
        <v>112</v>
      </c>
      <c r="Q1278" s="227">
        <f t="shared" ref="Q1278" si="535">M1278*O1278</f>
        <v>16</v>
      </c>
      <c r="R1278" s="226">
        <v>0</v>
      </c>
      <c r="S1278" s="227">
        <f t="shared" si="520"/>
        <v>16</v>
      </c>
      <c r="T1278" s="203" t="s">
        <v>48</v>
      </c>
      <c r="U1278" s="183" t="str">
        <f t="shared" si="519"/>
        <v>16 Hrs</v>
      </c>
    </row>
    <row r="1279" spans="3:21" s="172" customFormat="1" ht="20.25" customHeight="1">
      <c r="C1279" s="185"/>
      <c r="D1279" s="190">
        <f t="shared" ref="D1279:D1288" si="536">D1278+1</f>
        <v>1269</v>
      </c>
      <c r="E1279" s="194" t="s">
        <v>718</v>
      </c>
      <c r="F1279" s="198">
        <f>D1278</f>
        <v>1268</v>
      </c>
      <c r="G1279" s="193" t="s">
        <v>640</v>
      </c>
      <c r="H1279" s="193"/>
      <c r="I1279" s="195"/>
      <c r="J1279" s="221" t="s">
        <v>717</v>
      </c>
      <c r="K1279" s="221">
        <v>1</v>
      </c>
      <c r="L1279" s="195" t="s">
        <v>84</v>
      </c>
      <c r="M1279" s="204">
        <v>1</v>
      </c>
      <c r="N1279" s="195" t="s">
        <v>661</v>
      </c>
      <c r="O1279" s="205">
        <v>6</v>
      </c>
      <c r="P1279" s="195" t="s">
        <v>112</v>
      </c>
      <c r="Q1279" s="227">
        <f t="shared" si="534"/>
        <v>6</v>
      </c>
      <c r="R1279" s="226">
        <v>0</v>
      </c>
      <c r="S1279" s="227">
        <f t="shared" si="520"/>
        <v>6</v>
      </c>
      <c r="T1279" s="203" t="s">
        <v>48</v>
      </c>
      <c r="U1279" s="183" t="str">
        <f t="shared" si="519"/>
        <v>6 Hrs</v>
      </c>
    </row>
    <row r="1280" spans="3:21" s="172" customFormat="1" ht="20.25" customHeight="1">
      <c r="C1280" s="185"/>
      <c r="D1280" s="190">
        <f t="shared" si="536"/>
        <v>1270</v>
      </c>
      <c r="E1280" s="194" t="s">
        <v>722</v>
      </c>
      <c r="F1280" s="198">
        <f>D1279</f>
        <v>1269</v>
      </c>
      <c r="G1280" s="193" t="s">
        <v>640</v>
      </c>
      <c r="H1280" s="193"/>
      <c r="I1280" s="195"/>
      <c r="J1280" s="221" t="s">
        <v>717</v>
      </c>
      <c r="K1280" s="221">
        <v>1</v>
      </c>
      <c r="L1280" s="195" t="s">
        <v>84</v>
      </c>
      <c r="M1280" s="204">
        <v>1</v>
      </c>
      <c r="N1280" s="195" t="s">
        <v>661</v>
      </c>
      <c r="O1280" s="205">
        <v>12</v>
      </c>
      <c r="P1280" s="195" t="s">
        <v>112</v>
      </c>
      <c r="Q1280" s="227">
        <f t="shared" si="534"/>
        <v>12</v>
      </c>
      <c r="R1280" s="226">
        <v>0</v>
      </c>
      <c r="S1280" s="227">
        <f t="shared" si="520"/>
        <v>12</v>
      </c>
      <c r="T1280" s="203" t="s">
        <v>48</v>
      </c>
      <c r="U1280" s="183" t="str">
        <f t="shared" si="519"/>
        <v>12 Hrs</v>
      </c>
    </row>
    <row r="1281" spans="3:21" s="172" customFormat="1" ht="20.25" customHeight="1">
      <c r="C1281" s="185"/>
      <c r="D1281" s="190">
        <f t="shared" si="536"/>
        <v>1271</v>
      </c>
      <c r="E1281" s="194" t="s">
        <v>724</v>
      </c>
      <c r="F1281" s="198">
        <f t="shared" ref="F1281:F1282" si="537">D1280</f>
        <v>1270</v>
      </c>
      <c r="G1281" s="193" t="s">
        <v>640</v>
      </c>
      <c r="H1281" s="193"/>
      <c r="I1281" s="195"/>
      <c r="J1281" s="221" t="s">
        <v>717</v>
      </c>
      <c r="K1281" s="221">
        <v>1</v>
      </c>
      <c r="L1281" s="195" t="s">
        <v>84</v>
      </c>
      <c r="M1281" s="204">
        <v>1</v>
      </c>
      <c r="N1281" s="195" t="s">
        <v>661</v>
      </c>
      <c r="O1281" s="205">
        <v>1</v>
      </c>
      <c r="P1281" s="195" t="s">
        <v>41</v>
      </c>
      <c r="Q1281" s="227">
        <f t="shared" si="534"/>
        <v>1</v>
      </c>
      <c r="R1281" s="226">
        <v>0</v>
      </c>
      <c r="S1281" s="227">
        <f t="shared" si="520"/>
        <v>1</v>
      </c>
      <c r="T1281" s="203" t="s">
        <v>42</v>
      </c>
      <c r="U1281" s="183" t="str">
        <f t="shared" si="519"/>
        <v>1 Days</v>
      </c>
    </row>
    <row r="1282" spans="3:21" s="172" customFormat="1" ht="20.25" customHeight="1">
      <c r="C1282" s="185"/>
      <c r="D1282" s="190">
        <f t="shared" si="536"/>
        <v>1272</v>
      </c>
      <c r="E1282" s="194" t="s">
        <v>721</v>
      </c>
      <c r="F1282" s="198">
        <f t="shared" si="537"/>
        <v>1271</v>
      </c>
      <c r="G1282" s="193" t="s">
        <v>640</v>
      </c>
      <c r="H1282" s="193"/>
      <c r="I1282" s="195"/>
      <c r="J1282" s="221" t="s">
        <v>717</v>
      </c>
      <c r="K1282" s="221">
        <v>1</v>
      </c>
      <c r="L1282" s="195" t="s">
        <v>84</v>
      </c>
      <c r="M1282" s="204">
        <v>1</v>
      </c>
      <c r="N1282" s="195" t="s">
        <v>661</v>
      </c>
      <c r="O1282" s="205">
        <v>6</v>
      </c>
      <c r="P1282" s="195" t="s">
        <v>112</v>
      </c>
      <c r="Q1282" s="227">
        <f t="shared" si="534"/>
        <v>6</v>
      </c>
      <c r="R1282" s="226">
        <v>0</v>
      </c>
      <c r="S1282" s="227">
        <f t="shared" si="520"/>
        <v>6</v>
      </c>
      <c r="T1282" s="203" t="s">
        <v>48</v>
      </c>
      <c r="U1282" s="183" t="str">
        <f t="shared" si="519"/>
        <v>6 Hrs</v>
      </c>
    </row>
    <row r="1283" spans="3:21" s="172" customFormat="1" ht="20.25" customHeight="1">
      <c r="C1283" s="185">
        <f>D1283</f>
        <v>1273</v>
      </c>
      <c r="D1283" s="190">
        <f t="shared" si="536"/>
        <v>1273</v>
      </c>
      <c r="E1283" s="191" t="s">
        <v>725</v>
      </c>
      <c r="F1283" s="197">
        <f>C1277</f>
        <v>1267</v>
      </c>
      <c r="G1283" s="193"/>
      <c r="H1283" s="193"/>
      <c r="I1283" s="195"/>
      <c r="J1283" s="195"/>
      <c r="K1283" s="221"/>
      <c r="L1283" s="195"/>
      <c r="M1283" s="204"/>
      <c r="N1283" s="195"/>
      <c r="O1283" s="205"/>
      <c r="P1283" s="195"/>
      <c r="Q1283" s="227"/>
      <c r="R1283" s="226"/>
      <c r="S1283" s="227"/>
      <c r="T1283" s="203"/>
      <c r="U1283" s="183"/>
    </row>
    <row r="1284" spans="3:21" s="172" customFormat="1" ht="20.25" customHeight="1">
      <c r="C1284" s="185"/>
      <c r="D1284" s="190">
        <f t="shared" si="536"/>
        <v>1274</v>
      </c>
      <c r="E1284" s="193" t="s">
        <v>726</v>
      </c>
      <c r="F1284" s="198"/>
      <c r="G1284" s="193" t="s">
        <v>640</v>
      </c>
      <c r="H1284" s="193"/>
      <c r="I1284" s="195"/>
      <c r="J1284" s="221" t="s">
        <v>717</v>
      </c>
      <c r="K1284" s="221">
        <v>1</v>
      </c>
      <c r="L1284" s="195" t="s">
        <v>84</v>
      </c>
      <c r="M1284" s="204">
        <v>1</v>
      </c>
      <c r="N1284" s="195" t="s">
        <v>661</v>
      </c>
      <c r="O1284" s="205">
        <v>12</v>
      </c>
      <c r="P1284" s="195" t="s">
        <v>112</v>
      </c>
      <c r="Q1284" s="227">
        <f t="shared" si="534"/>
        <v>12</v>
      </c>
      <c r="R1284" s="226">
        <v>0</v>
      </c>
      <c r="S1284" s="227">
        <f t="shared" si="520"/>
        <v>12</v>
      </c>
      <c r="T1284" s="203" t="s">
        <v>48</v>
      </c>
      <c r="U1284" s="183" t="str">
        <f t="shared" si="519"/>
        <v>12 Hrs</v>
      </c>
    </row>
    <row r="1285" spans="3:21" s="172" customFormat="1" ht="20.25" customHeight="1">
      <c r="C1285" s="185">
        <f>D1285</f>
        <v>1275</v>
      </c>
      <c r="D1285" s="190">
        <f t="shared" si="536"/>
        <v>1275</v>
      </c>
      <c r="E1285" s="191" t="s">
        <v>727</v>
      </c>
      <c r="F1285" s="197">
        <f>C1283</f>
        <v>1273</v>
      </c>
      <c r="G1285" s="193"/>
      <c r="H1285" s="193"/>
      <c r="I1285" s="195"/>
      <c r="J1285" s="195"/>
      <c r="K1285" s="221"/>
      <c r="L1285" s="195"/>
      <c r="M1285" s="204"/>
      <c r="N1285" s="195"/>
      <c r="O1285" s="205"/>
      <c r="P1285" s="195"/>
      <c r="Q1285" s="227"/>
      <c r="R1285" s="226"/>
      <c r="S1285" s="227"/>
      <c r="T1285" s="203"/>
      <c r="U1285" s="183"/>
    </row>
    <row r="1286" spans="3:21" s="172" customFormat="1" ht="20.25" customHeight="1">
      <c r="C1286" s="185"/>
      <c r="D1286" s="190">
        <f t="shared" si="536"/>
        <v>1276</v>
      </c>
      <c r="E1286" s="193" t="s">
        <v>728</v>
      </c>
      <c r="F1286" s="198"/>
      <c r="G1286" s="193" t="s">
        <v>640</v>
      </c>
      <c r="H1286" s="193"/>
      <c r="I1286" s="195"/>
      <c r="J1286" s="221" t="s">
        <v>717</v>
      </c>
      <c r="K1286" s="221">
        <v>1</v>
      </c>
      <c r="L1286" s="195" t="s">
        <v>84</v>
      </c>
      <c r="M1286" s="204">
        <v>1</v>
      </c>
      <c r="N1286" s="195" t="s">
        <v>661</v>
      </c>
      <c r="O1286" s="205">
        <v>1</v>
      </c>
      <c r="P1286" s="195" t="s">
        <v>41</v>
      </c>
      <c r="Q1286" s="227">
        <f t="shared" si="534"/>
        <v>1</v>
      </c>
      <c r="R1286" s="226">
        <v>0</v>
      </c>
      <c r="S1286" s="227">
        <f t="shared" si="520"/>
        <v>1</v>
      </c>
      <c r="T1286" s="203" t="s">
        <v>42</v>
      </c>
      <c r="U1286" s="183" t="str">
        <f t="shared" si="519"/>
        <v>1 Days</v>
      </c>
    </row>
    <row r="1287" spans="3:21" s="172" customFormat="1" ht="20.25" customHeight="1">
      <c r="C1287" s="185"/>
      <c r="D1287" s="190">
        <f t="shared" si="536"/>
        <v>1277</v>
      </c>
      <c r="E1287" s="193" t="s">
        <v>729</v>
      </c>
      <c r="F1287" s="198">
        <f>D1286</f>
        <v>1276</v>
      </c>
      <c r="G1287" s="193" t="s">
        <v>640</v>
      </c>
      <c r="H1287" s="193"/>
      <c r="I1287" s="195"/>
      <c r="J1287" s="221" t="s">
        <v>717</v>
      </c>
      <c r="K1287" s="221">
        <v>1</v>
      </c>
      <c r="L1287" s="195" t="s">
        <v>84</v>
      </c>
      <c r="M1287" s="204">
        <v>1</v>
      </c>
      <c r="N1287" s="195" t="s">
        <v>661</v>
      </c>
      <c r="O1287" s="205">
        <v>1</v>
      </c>
      <c r="P1287" s="195" t="s">
        <v>41</v>
      </c>
      <c r="Q1287" s="227">
        <f t="shared" si="534"/>
        <v>1</v>
      </c>
      <c r="R1287" s="226">
        <v>0</v>
      </c>
      <c r="S1287" s="227">
        <f t="shared" si="520"/>
        <v>1</v>
      </c>
      <c r="T1287" s="203" t="s">
        <v>42</v>
      </c>
      <c r="U1287" s="183" t="str">
        <f t="shared" si="519"/>
        <v>1 Days</v>
      </c>
    </row>
    <row r="1288" spans="3:21" s="172" customFormat="1" ht="20.25" customHeight="1">
      <c r="C1288" s="185"/>
      <c r="D1288" s="190">
        <f t="shared" si="536"/>
        <v>1278</v>
      </c>
      <c r="E1288" s="193" t="s">
        <v>730</v>
      </c>
      <c r="F1288" s="198">
        <f>D1287</f>
        <v>1277</v>
      </c>
      <c r="G1288" s="193" t="s">
        <v>640</v>
      </c>
      <c r="H1288" s="193"/>
      <c r="I1288" s="195"/>
      <c r="J1288" s="221" t="s">
        <v>717</v>
      </c>
      <c r="K1288" s="221">
        <v>1</v>
      </c>
      <c r="L1288" s="195" t="s">
        <v>84</v>
      </c>
      <c r="M1288" s="204">
        <v>1</v>
      </c>
      <c r="N1288" s="195" t="s">
        <v>661</v>
      </c>
      <c r="O1288" s="205">
        <v>1</v>
      </c>
      <c r="P1288" s="195" t="s">
        <v>41</v>
      </c>
      <c r="Q1288" s="227">
        <f t="shared" si="534"/>
        <v>1</v>
      </c>
      <c r="R1288" s="226">
        <v>0</v>
      </c>
      <c r="S1288" s="227">
        <f t="shared" si="520"/>
        <v>1</v>
      </c>
      <c r="T1288" s="203" t="s">
        <v>42</v>
      </c>
      <c r="U1288" s="183" t="str">
        <f t="shared" si="519"/>
        <v>1 Days</v>
      </c>
    </row>
    <row r="1289" spans="3:21" ht="20.25" customHeight="1">
      <c r="F1289" s="178"/>
    </row>
    <row r="1290" spans="3:21" ht="20.25" customHeight="1">
      <c r="F1290" s="178"/>
    </row>
    <row r="1291" spans="3:21" ht="20.25" customHeight="1">
      <c r="F1291" s="178"/>
    </row>
    <row r="1292" spans="3:21" ht="20.25" customHeight="1">
      <c r="F1292" s="178"/>
    </row>
    <row r="1293" spans="3:21" ht="20.25" customHeight="1">
      <c r="F1293" s="178"/>
    </row>
    <row r="1294" spans="3:21" ht="20.25" customHeight="1">
      <c r="F1294" s="178"/>
    </row>
    <row r="1295" spans="3:21" ht="20.25" customHeight="1">
      <c r="F1295" s="178"/>
    </row>
    <row r="1296" spans="3:21" ht="20.25" customHeight="1">
      <c r="F1296" s="178"/>
    </row>
    <row r="1297" spans="6:6" ht="20.25" customHeight="1">
      <c r="F1297" s="178"/>
    </row>
    <row r="1298" spans="6:6" ht="20.25" customHeight="1">
      <c r="F1298" s="178"/>
    </row>
    <row r="1299" spans="6:6" ht="20.25" customHeight="1">
      <c r="F1299" s="178"/>
    </row>
    <row r="1300" spans="6:6" ht="20.25" customHeight="1">
      <c r="F1300" s="178"/>
    </row>
    <row r="1301" spans="6:6" ht="20.25" customHeight="1">
      <c r="F1301" s="178"/>
    </row>
    <row r="1302" spans="6:6" ht="20.25" customHeight="1">
      <c r="F1302" s="178"/>
    </row>
    <row r="1303" spans="6:6" ht="20.25" customHeight="1">
      <c r="F1303" s="178"/>
    </row>
    <row r="1304" spans="6:6" ht="20.25" customHeight="1">
      <c r="F1304" s="178"/>
    </row>
    <row r="1305" spans="6:6" ht="20.25" customHeight="1">
      <c r="F1305" s="178"/>
    </row>
    <row r="1306" spans="6:6" ht="20.25" customHeight="1">
      <c r="F1306" s="178"/>
    </row>
    <row r="1307" spans="6:6" ht="20.25" customHeight="1">
      <c r="F1307" s="178"/>
    </row>
    <row r="1308" spans="6:6" ht="20.25" customHeight="1">
      <c r="F1308" s="178"/>
    </row>
    <row r="1309" spans="6:6" ht="20.25" customHeight="1">
      <c r="F1309" s="178"/>
    </row>
    <row r="1310" spans="6:6" ht="20.25" customHeight="1">
      <c r="F1310" s="178"/>
    </row>
    <row r="1311" spans="6:6" ht="20.25" customHeight="1">
      <c r="F1311" s="178"/>
    </row>
    <row r="1312" spans="6:6" ht="20.25" customHeight="1">
      <c r="F1312" s="178"/>
    </row>
    <row r="1313" spans="6:6" ht="20.25" customHeight="1">
      <c r="F1313" s="178"/>
    </row>
    <row r="1314" spans="6:6" ht="20.25" customHeight="1">
      <c r="F1314" s="178"/>
    </row>
    <row r="1315" spans="6:6" ht="20.25" customHeight="1">
      <c r="F1315" s="178"/>
    </row>
    <row r="1316" spans="6:6" ht="20.25" customHeight="1">
      <c r="F1316" s="178"/>
    </row>
    <row r="1317" spans="6:6" ht="20.25" customHeight="1">
      <c r="F1317" s="178"/>
    </row>
    <row r="1318" spans="6:6" ht="20.25" customHeight="1">
      <c r="F1318" s="178"/>
    </row>
    <row r="1319" spans="6:6" ht="20.25" customHeight="1">
      <c r="F1319" s="178"/>
    </row>
    <row r="1320" spans="6:6" ht="20.25" customHeight="1">
      <c r="F1320" s="178"/>
    </row>
    <row r="1321" spans="6:6" ht="20.25" customHeight="1">
      <c r="F1321" s="178"/>
    </row>
    <row r="1322" spans="6:6" ht="20.25" customHeight="1">
      <c r="F1322" s="178"/>
    </row>
    <row r="1323" spans="6:6" ht="20.25" customHeight="1">
      <c r="F1323" s="178"/>
    </row>
    <row r="1324" spans="6:6" ht="20.25" customHeight="1">
      <c r="F1324" s="178"/>
    </row>
    <row r="1325" spans="6:6" ht="20.25" customHeight="1">
      <c r="F1325" s="178"/>
    </row>
    <row r="1326" spans="6:6" ht="20.25" customHeight="1">
      <c r="F1326" s="178"/>
    </row>
    <row r="1327" spans="6:6" ht="20.25" customHeight="1">
      <c r="F1327" s="178"/>
    </row>
    <row r="1328" spans="6:6" ht="20.25" customHeight="1">
      <c r="F1328" s="178"/>
    </row>
    <row r="1329" spans="6:6" ht="20.25" customHeight="1">
      <c r="F1329" s="178"/>
    </row>
    <row r="1330" spans="6:6" ht="20.25" customHeight="1">
      <c r="F1330" s="178"/>
    </row>
    <row r="1331" spans="6:6" ht="20.25" customHeight="1">
      <c r="F1331" s="178"/>
    </row>
  </sheetData>
  <sheetProtection formatCells="0" formatColumns="0" formatRows="0" insertColumns="0" insertRows="0" insertHyperlinks="0" deleteColumns="0" deleteRows="0" sort="0" autoFilter="0" pivotTables="0"/>
  <autoFilter ref="S1:S1331"/>
  <pageMargins left="0.41944444444444401" right="0.27916666666666701" top="0.75" bottom="0.3" header="0.3" footer="0.3"/>
  <pageSetup paperSize="9" scale="80" orientation="landscape"/>
  <headerFooter>
    <oddFooter>&amp;C
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M1289"/>
  <sheetViews>
    <sheetView showGridLines="0" topLeftCell="C1276" zoomScale="90" zoomScaleNormal="90" workbookViewId="0">
      <selection activeCell="C1287" sqref="C1287"/>
    </sheetView>
  </sheetViews>
  <sheetFormatPr defaultColWidth="9" defaultRowHeight="20.25" customHeight="1"/>
  <cols>
    <col min="1" max="1" width="6.86328125" style="87" customWidth="1"/>
    <col min="2" max="2" width="4.86328125" style="87" customWidth="1"/>
    <col min="3" max="3" width="6.3984375" style="88" customWidth="1"/>
    <col min="4" max="4" width="6.3984375" style="89" customWidth="1"/>
    <col min="5" max="5" width="43.3984375" style="90" customWidth="1"/>
    <col min="6" max="6" width="15" style="91" customWidth="1"/>
    <col min="7" max="7" width="14.86328125" style="92" customWidth="1"/>
    <col min="8" max="8" width="8.59765625" style="92" customWidth="1"/>
    <col min="9" max="9" width="8.265625" style="91" customWidth="1"/>
    <col min="10" max="10" width="13.86328125" style="91" customWidth="1"/>
    <col min="11" max="11" width="5.59765625" style="93" customWidth="1"/>
    <col min="12" max="12" width="6" style="91" customWidth="1"/>
    <col min="13" max="13" width="10.1328125" style="94" customWidth="1"/>
    <col min="14" max="14" width="8.73046875" style="91" customWidth="1"/>
    <col min="15" max="15" width="8.3984375" style="91" customWidth="1"/>
    <col min="16" max="16" width="7" style="91" customWidth="1"/>
    <col min="17" max="17" width="9.86328125" style="91" customWidth="1"/>
    <col min="18" max="18" width="5" style="95" customWidth="1"/>
    <col min="19" max="19" width="11.3984375" style="91" customWidth="1"/>
    <col min="20" max="20" width="5.73046875" style="93" customWidth="1"/>
    <col min="21" max="16367" width="9" style="87"/>
  </cols>
  <sheetData>
    <row r="1" spans="3:20" s="86" customFormat="1" ht="34.5" customHeight="1">
      <c r="C1" s="96">
        <f>D1</f>
        <v>1</v>
      </c>
      <c r="D1" s="97">
        <v>1</v>
      </c>
      <c r="E1" s="98" t="s">
        <v>0</v>
      </c>
      <c r="F1" s="99"/>
      <c r="G1" s="100"/>
      <c r="H1" s="101" t="s">
        <v>1</v>
      </c>
      <c r="I1" s="98" t="s">
        <v>2</v>
      </c>
      <c r="J1" s="98" t="s">
        <v>3</v>
      </c>
      <c r="K1" s="114" t="s">
        <v>4</v>
      </c>
      <c r="L1" s="114" t="s">
        <v>5</v>
      </c>
      <c r="M1" s="115" t="s">
        <v>6</v>
      </c>
      <c r="N1" s="98" t="s">
        <v>5</v>
      </c>
      <c r="O1" s="116" t="s">
        <v>7</v>
      </c>
      <c r="P1" s="98" t="s">
        <v>5</v>
      </c>
      <c r="Q1" s="143" t="s">
        <v>8</v>
      </c>
      <c r="R1" s="144" t="s">
        <v>9</v>
      </c>
      <c r="S1" s="145" t="s">
        <v>10</v>
      </c>
      <c r="T1" s="146" t="s">
        <v>5</v>
      </c>
    </row>
    <row r="2" spans="3:20" ht="20.25" customHeight="1">
      <c r="C2" s="96">
        <f>D2</f>
        <v>2</v>
      </c>
      <c r="D2" s="102">
        <f>D1+1</f>
        <v>2</v>
      </c>
      <c r="E2" s="103" t="s">
        <v>11</v>
      </c>
      <c r="F2" s="104"/>
      <c r="G2" s="105"/>
      <c r="H2" s="105"/>
      <c r="I2" s="104"/>
      <c r="J2" s="104"/>
      <c r="K2" s="117"/>
      <c r="L2" s="118"/>
      <c r="M2" s="119"/>
      <c r="N2" s="104"/>
      <c r="O2" s="120"/>
      <c r="P2" s="104"/>
      <c r="Q2" s="147"/>
      <c r="R2" s="148"/>
      <c r="S2" s="147"/>
      <c r="T2" s="149"/>
    </row>
    <row r="3" spans="3:20" ht="20.25" customHeight="1">
      <c r="C3" s="96">
        <f t="shared" ref="C3:C26" si="0">D3</f>
        <v>3</v>
      </c>
      <c r="D3" s="102">
        <f t="shared" ref="D3:D66" si="1">D2+1</f>
        <v>3</v>
      </c>
      <c r="E3" s="106" t="s">
        <v>731</v>
      </c>
      <c r="F3" s="104"/>
      <c r="G3" s="105"/>
      <c r="H3" s="105"/>
      <c r="I3" s="104"/>
      <c r="J3" s="104"/>
      <c r="K3" s="117"/>
      <c r="L3" s="118"/>
      <c r="M3" s="119"/>
      <c r="N3" s="104"/>
      <c r="O3" s="120"/>
      <c r="P3" s="104"/>
      <c r="Q3" s="147"/>
      <c r="R3" s="148"/>
      <c r="S3" s="147"/>
      <c r="T3" s="149"/>
    </row>
    <row r="4" spans="3:20" ht="20.25" customHeight="1">
      <c r="C4" s="96">
        <f t="shared" si="0"/>
        <v>4</v>
      </c>
      <c r="D4" s="102">
        <f t="shared" si="1"/>
        <v>4</v>
      </c>
      <c r="E4" s="106" t="s">
        <v>732</v>
      </c>
      <c r="F4" s="104"/>
      <c r="G4" s="105"/>
      <c r="H4" s="105"/>
      <c r="I4" s="104"/>
      <c r="J4" s="104"/>
      <c r="K4" s="117"/>
      <c r="L4" s="118"/>
      <c r="M4" s="119"/>
      <c r="N4" s="104"/>
      <c r="O4" s="120"/>
      <c r="P4" s="104"/>
      <c r="Q4" s="147"/>
      <c r="R4" s="148"/>
      <c r="S4" s="147"/>
      <c r="T4" s="149"/>
    </row>
    <row r="5" spans="3:20" ht="20.25" customHeight="1">
      <c r="C5" s="96">
        <f t="shared" si="0"/>
        <v>5</v>
      </c>
      <c r="D5" s="102">
        <f t="shared" si="1"/>
        <v>5</v>
      </c>
      <c r="E5" s="106" t="s">
        <v>733</v>
      </c>
      <c r="F5" s="104"/>
      <c r="G5" s="105"/>
      <c r="H5" s="105"/>
      <c r="I5" s="104"/>
      <c r="J5" s="104"/>
      <c r="K5" s="117"/>
      <c r="L5" s="118"/>
      <c r="M5" s="119"/>
      <c r="N5" s="104"/>
      <c r="O5" s="120"/>
      <c r="P5" s="104"/>
      <c r="Q5" s="147"/>
      <c r="R5" s="148"/>
      <c r="S5" s="147"/>
      <c r="T5" s="149"/>
    </row>
    <row r="6" spans="3:20" ht="20.25" customHeight="1">
      <c r="C6" s="96">
        <f t="shared" si="0"/>
        <v>6</v>
      </c>
      <c r="D6" s="102">
        <f t="shared" si="1"/>
        <v>6</v>
      </c>
      <c r="E6" s="106" t="s">
        <v>734</v>
      </c>
      <c r="F6" s="104"/>
      <c r="G6" s="105"/>
      <c r="H6" s="105"/>
      <c r="I6" s="104"/>
      <c r="J6" s="104"/>
      <c r="K6" s="117"/>
      <c r="L6" s="118"/>
      <c r="M6" s="119"/>
      <c r="N6" s="104"/>
      <c r="O6" s="120"/>
      <c r="P6" s="104"/>
      <c r="Q6" s="147"/>
      <c r="R6" s="148"/>
      <c r="S6" s="147"/>
      <c r="T6" s="149"/>
    </row>
    <row r="7" spans="3:20" ht="20.25" customHeight="1">
      <c r="C7" s="96">
        <f t="shared" si="0"/>
        <v>7</v>
      </c>
      <c r="D7" s="102">
        <f t="shared" si="1"/>
        <v>7</v>
      </c>
      <c r="E7" s="106" t="s">
        <v>16</v>
      </c>
      <c r="F7" s="104"/>
      <c r="G7" s="105"/>
      <c r="H7" s="105"/>
      <c r="I7" s="104"/>
      <c r="J7" s="104"/>
      <c r="K7" s="117"/>
      <c r="L7" s="118"/>
      <c r="M7" s="119"/>
      <c r="N7" s="104"/>
      <c r="O7" s="120"/>
      <c r="P7" s="104"/>
      <c r="Q7" s="147"/>
      <c r="R7" s="148"/>
      <c r="S7" s="147"/>
      <c r="T7" s="149"/>
    </row>
    <row r="8" spans="3:20" ht="20.25" customHeight="1">
      <c r="C8" s="96">
        <f t="shared" si="0"/>
        <v>8</v>
      </c>
      <c r="D8" s="102">
        <f t="shared" si="1"/>
        <v>8</v>
      </c>
      <c r="E8" s="106" t="s">
        <v>17</v>
      </c>
      <c r="F8" s="104"/>
      <c r="G8" s="105"/>
      <c r="H8" s="105"/>
      <c r="I8" s="104"/>
      <c r="J8" s="104"/>
      <c r="K8" s="117"/>
      <c r="L8" s="118"/>
      <c r="M8" s="119"/>
      <c r="N8" s="104"/>
      <c r="O8" s="120"/>
      <c r="P8" s="104"/>
      <c r="Q8" s="147"/>
      <c r="R8" s="148"/>
      <c r="S8" s="147"/>
      <c r="T8" s="149"/>
    </row>
    <row r="9" spans="3:20" ht="20.25" customHeight="1">
      <c r="C9" s="96">
        <f t="shared" si="0"/>
        <v>9</v>
      </c>
      <c r="D9" s="102">
        <f t="shared" si="1"/>
        <v>9</v>
      </c>
      <c r="E9" s="106" t="s">
        <v>18</v>
      </c>
      <c r="F9" s="104"/>
      <c r="G9" s="105"/>
      <c r="H9" s="105"/>
      <c r="I9" s="104"/>
      <c r="J9" s="104"/>
      <c r="K9" s="117"/>
      <c r="L9" s="118"/>
      <c r="M9" s="119"/>
      <c r="N9" s="104"/>
      <c r="O9" s="120"/>
      <c r="P9" s="104"/>
      <c r="Q9" s="147"/>
      <c r="R9" s="148"/>
      <c r="S9" s="147"/>
      <c r="T9" s="149"/>
    </row>
    <row r="10" spans="3:20" ht="20.25" customHeight="1">
      <c r="C10" s="96">
        <f t="shared" si="0"/>
        <v>10</v>
      </c>
      <c r="D10" s="102">
        <f t="shared" si="1"/>
        <v>10</v>
      </c>
      <c r="E10" s="106" t="s">
        <v>19</v>
      </c>
      <c r="F10" s="104"/>
      <c r="G10" s="105"/>
      <c r="H10" s="105"/>
      <c r="I10" s="104"/>
      <c r="J10" s="104"/>
      <c r="K10" s="117"/>
      <c r="L10" s="118"/>
      <c r="M10" s="119"/>
      <c r="N10" s="104"/>
      <c r="O10" s="120"/>
      <c r="P10" s="104"/>
      <c r="Q10" s="147"/>
      <c r="R10" s="148"/>
      <c r="S10" s="147"/>
      <c r="T10" s="149"/>
    </row>
    <row r="11" spans="3:20" ht="20.25" customHeight="1">
      <c r="C11" s="96">
        <f t="shared" si="0"/>
        <v>11</v>
      </c>
      <c r="D11" s="102">
        <f t="shared" si="1"/>
        <v>11</v>
      </c>
      <c r="E11" s="106" t="s">
        <v>20</v>
      </c>
      <c r="F11" s="104"/>
      <c r="G11" s="105"/>
      <c r="H11" s="105"/>
      <c r="I11" s="104"/>
      <c r="J11" s="104"/>
      <c r="K11" s="117"/>
      <c r="L11" s="118"/>
      <c r="M11" s="119"/>
      <c r="N11" s="104"/>
      <c r="O11" s="120"/>
      <c r="P11" s="104"/>
      <c r="Q11" s="147"/>
      <c r="R11" s="148"/>
      <c r="S11" s="147"/>
      <c r="T11" s="149"/>
    </row>
    <row r="12" spans="3:20" ht="20.25" customHeight="1">
      <c r="C12" s="96">
        <f t="shared" si="0"/>
        <v>12</v>
      </c>
      <c r="D12" s="102">
        <f t="shared" si="1"/>
        <v>12</v>
      </c>
      <c r="E12" s="106" t="s">
        <v>21</v>
      </c>
      <c r="F12" s="104"/>
      <c r="G12" s="105"/>
      <c r="H12" s="105"/>
      <c r="I12" s="104"/>
      <c r="J12" s="104"/>
      <c r="K12" s="117"/>
      <c r="L12" s="118"/>
      <c r="M12" s="119"/>
      <c r="N12" s="104"/>
      <c r="O12" s="120"/>
      <c r="P12" s="104"/>
      <c r="Q12" s="147"/>
      <c r="R12" s="148"/>
      <c r="S12" s="147"/>
      <c r="T12" s="149"/>
    </row>
    <row r="13" spans="3:20" ht="20.25" customHeight="1">
      <c r="C13" s="96">
        <f t="shared" si="0"/>
        <v>13</v>
      </c>
      <c r="D13" s="102">
        <f t="shared" si="1"/>
        <v>13</v>
      </c>
      <c r="E13" s="106" t="s">
        <v>22</v>
      </c>
      <c r="F13" s="104"/>
      <c r="G13" s="105"/>
      <c r="H13" s="105"/>
      <c r="I13" s="104"/>
      <c r="J13" s="104"/>
      <c r="K13" s="117"/>
      <c r="L13" s="118"/>
      <c r="M13" s="119"/>
      <c r="N13" s="104"/>
      <c r="O13" s="120"/>
      <c r="P13" s="104"/>
      <c r="Q13" s="147"/>
      <c r="R13" s="148"/>
      <c r="S13" s="147"/>
      <c r="T13" s="149"/>
    </row>
    <row r="14" spans="3:20" ht="20.25" customHeight="1">
      <c r="C14" s="96">
        <f t="shared" si="0"/>
        <v>14</v>
      </c>
      <c r="D14" s="102">
        <f t="shared" si="1"/>
        <v>14</v>
      </c>
      <c r="E14" s="106" t="s">
        <v>23</v>
      </c>
      <c r="F14" s="104"/>
      <c r="G14" s="105"/>
      <c r="H14" s="105"/>
      <c r="I14" s="104"/>
      <c r="J14" s="104"/>
      <c r="K14" s="117"/>
      <c r="L14" s="118"/>
      <c r="M14" s="119"/>
      <c r="N14" s="104"/>
      <c r="O14" s="120"/>
      <c r="P14" s="104"/>
      <c r="Q14" s="147"/>
      <c r="R14" s="148"/>
      <c r="S14" s="147"/>
      <c r="T14" s="149"/>
    </row>
    <row r="15" spans="3:20" ht="20.25" customHeight="1">
      <c r="C15" s="96">
        <f t="shared" si="0"/>
        <v>15</v>
      </c>
      <c r="D15" s="102">
        <f t="shared" si="1"/>
        <v>15</v>
      </c>
      <c r="E15" s="106" t="s">
        <v>24</v>
      </c>
      <c r="F15" s="104"/>
      <c r="G15" s="105"/>
      <c r="H15" s="105"/>
      <c r="I15" s="104"/>
      <c r="J15" s="104"/>
      <c r="K15" s="117"/>
      <c r="L15" s="118"/>
      <c r="M15" s="119"/>
      <c r="N15" s="104"/>
      <c r="O15" s="120"/>
      <c r="P15" s="104"/>
      <c r="Q15" s="147"/>
      <c r="R15" s="148"/>
      <c r="S15" s="147"/>
      <c r="T15" s="149"/>
    </row>
    <row r="16" spans="3:20" ht="20.25" customHeight="1">
      <c r="C16" s="96">
        <f t="shared" si="0"/>
        <v>16</v>
      </c>
      <c r="D16" s="102">
        <f t="shared" si="1"/>
        <v>16</v>
      </c>
      <c r="E16" s="106" t="s">
        <v>25</v>
      </c>
      <c r="F16" s="104"/>
      <c r="G16" s="105"/>
      <c r="H16" s="105"/>
      <c r="I16" s="104"/>
      <c r="J16" s="104"/>
      <c r="K16" s="117"/>
      <c r="L16" s="118"/>
      <c r="M16" s="119"/>
      <c r="N16" s="104"/>
      <c r="O16" s="120"/>
      <c r="P16" s="104"/>
      <c r="Q16" s="147"/>
      <c r="R16" s="148"/>
      <c r="S16" s="147"/>
      <c r="T16" s="149"/>
    </row>
    <row r="17" spans="3:20" ht="20.25" customHeight="1">
      <c r="C17" s="96">
        <f t="shared" si="0"/>
        <v>17</v>
      </c>
      <c r="D17" s="102">
        <f t="shared" si="1"/>
        <v>17</v>
      </c>
      <c r="E17" s="106" t="s">
        <v>26</v>
      </c>
      <c r="F17" s="104"/>
      <c r="G17" s="105"/>
      <c r="H17" s="105"/>
      <c r="I17" s="104"/>
      <c r="J17" s="104"/>
      <c r="K17" s="117"/>
      <c r="L17" s="118"/>
      <c r="M17" s="119"/>
      <c r="N17" s="104"/>
      <c r="O17" s="120"/>
      <c r="P17" s="104"/>
      <c r="Q17" s="147"/>
      <c r="R17" s="148"/>
      <c r="S17" s="147"/>
      <c r="T17" s="149"/>
    </row>
    <row r="18" spans="3:20" ht="20.25" customHeight="1">
      <c r="C18" s="96">
        <f t="shared" si="0"/>
        <v>18</v>
      </c>
      <c r="D18" s="102">
        <f t="shared" si="1"/>
        <v>18</v>
      </c>
      <c r="E18" s="106" t="s">
        <v>27</v>
      </c>
      <c r="F18" s="104"/>
      <c r="G18" s="105"/>
      <c r="H18" s="105"/>
      <c r="I18" s="104"/>
      <c r="J18" s="104"/>
      <c r="K18" s="117"/>
      <c r="L18" s="118"/>
      <c r="M18" s="119"/>
      <c r="N18" s="104"/>
      <c r="O18" s="120"/>
      <c r="P18" s="104"/>
      <c r="Q18" s="147"/>
      <c r="R18" s="148"/>
      <c r="S18" s="147"/>
      <c r="T18" s="149"/>
    </row>
    <row r="19" spans="3:20" ht="20.25" customHeight="1">
      <c r="C19" s="96">
        <f t="shared" si="0"/>
        <v>19</v>
      </c>
      <c r="D19" s="102">
        <f t="shared" si="1"/>
        <v>19</v>
      </c>
      <c r="E19" s="106" t="s">
        <v>28</v>
      </c>
      <c r="F19" s="104"/>
      <c r="G19" s="105"/>
      <c r="H19" s="105"/>
      <c r="I19" s="104"/>
      <c r="J19" s="104"/>
      <c r="K19" s="117"/>
      <c r="L19" s="118"/>
      <c r="M19" s="119"/>
      <c r="N19" s="104"/>
      <c r="O19" s="120"/>
      <c r="P19" s="104"/>
      <c r="Q19" s="147"/>
      <c r="R19" s="148"/>
      <c r="S19" s="147"/>
      <c r="T19" s="149"/>
    </row>
    <row r="20" spans="3:20" ht="20.25" customHeight="1">
      <c r="C20" s="96">
        <f t="shared" si="0"/>
        <v>20</v>
      </c>
      <c r="D20" s="102">
        <f t="shared" si="1"/>
        <v>20</v>
      </c>
      <c r="E20" s="106" t="s">
        <v>29</v>
      </c>
      <c r="F20" s="104"/>
      <c r="G20" s="105"/>
      <c r="H20" s="105"/>
      <c r="I20" s="104"/>
      <c r="J20" s="104"/>
      <c r="K20" s="117"/>
      <c r="L20" s="118"/>
      <c r="M20" s="119"/>
      <c r="N20" s="104"/>
      <c r="O20" s="120"/>
      <c r="P20" s="104"/>
      <c r="Q20" s="147"/>
      <c r="R20" s="148"/>
      <c r="S20" s="147"/>
      <c r="T20" s="149"/>
    </row>
    <row r="21" spans="3:20" ht="20.25" customHeight="1">
      <c r="C21" s="96">
        <f t="shared" si="0"/>
        <v>21</v>
      </c>
      <c r="D21" s="102">
        <f t="shared" si="1"/>
        <v>21</v>
      </c>
      <c r="E21" s="106" t="s">
        <v>30</v>
      </c>
      <c r="F21" s="104"/>
      <c r="G21" s="105"/>
      <c r="H21" s="105"/>
      <c r="I21" s="104"/>
      <c r="J21" s="104"/>
      <c r="K21" s="117"/>
      <c r="L21" s="118"/>
      <c r="M21" s="119"/>
      <c r="N21" s="104"/>
      <c r="O21" s="120"/>
      <c r="P21" s="104"/>
      <c r="Q21" s="147"/>
      <c r="R21" s="148"/>
      <c r="S21" s="147"/>
      <c r="T21" s="149"/>
    </row>
    <row r="22" spans="3:20" ht="20.25" customHeight="1">
      <c r="C22" s="96">
        <f t="shared" si="0"/>
        <v>22</v>
      </c>
      <c r="D22" s="102">
        <f t="shared" si="1"/>
        <v>22</v>
      </c>
      <c r="E22" s="106" t="s">
        <v>31</v>
      </c>
      <c r="F22" s="104"/>
      <c r="G22" s="105"/>
      <c r="H22" s="105"/>
      <c r="I22" s="104"/>
      <c r="J22" s="104"/>
      <c r="K22" s="117"/>
      <c r="L22" s="118"/>
      <c r="M22" s="119"/>
      <c r="N22" s="104"/>
      <c r="O22" s="120"/>
      <c r="P22" s="104"/>
      <c r="Q22" s="147"/>
      <c r="R22" s="148"/>
      <c r="S22" s="147"/>
      <c r="T22" s="149"/>
    </row>
    <row r="23" spans="3:20" ht="20.25" customHeight="1">
      <c r="C23" s="96">
        <f t="shared" si="0"/>
        <v>23</v>
      </c>
      <c r="D23" s="102">
        <f t="shared" si="1"/>
        <v>23</v>
      </c>
      <c r="E23" s="106" t="s">
        <v>32</v>
      </c>
      <c r="F23" s="104"/>
      <c r="G23" s="105"/>
      <c r="H23" s="105"/>
      <c r="I23" s="104"/>
      <c r="J23" s="104"/>
      <c r="K23" s="117"/>
      <c r="L23" s="118"/>
      <c r="M23" s="119"/>
      <c r="N23" s="104"/>
      <c r="O23" s="120"/>
      <c r="P23" s="104"/>
      <c r="Q23" s="147"/>
      <c r="R23" s="148"/>
      <c r="S23" s="147"/>
      <c r="T23" s="149"/>
    </row>
    <row r="24" spans="3:20" ht="20.25" customHeight="1">
      <c r="C24" s="96">
        <f t="shared" si="0"/>
        <v>24</v>
      </c>
      <c r="D24" s="102">
        <f t="shared" si="1"/>
        <v>24</v>
      </c>
      <c r="E24" s="106" t="s">
        <v>33</v>
      </c>
      <c r="F24" s="104"/>
      <c r="G24" s="105"/>
      <c r="H24" s="105"/>
      <c r="I24" s="104"/>
      <c r="J24" s="104"/>
      <c r="K24" s="117"/>
      <c r="L24" s="118"/>
      <c r="M24" s="119"/>
      <c r="N24" s="104"/>
      <c r="O24" s="120"/>
      <c r="P24" s="104"/>
      <c r="Q24" s="147"/>
      <c r="R24" s="148"/>
      <c r="S24" s="147"/>
      <c r="T24" s="149"/>
    </row>
    <row r="25" spans="3:20" ht="20.25" customHeight="1">
      <c r="C25" s="96">
        <f t="shared" si="0"/>
        <v>25</v>
      </c>
      <c r="D25" s="102">
        <f t="shared" si="1"/>
        <v>25</v>
      </c>
      <c r="E25" s="106" t="s">
        <v>34</v>
      </c>
      <c r="F25" s="104"/>
      <c r="G25" s="105"/>
      <c r="H25" s="105"/>
      <c r="I25" s="104"/>
      <c r="J25" s="104"/>
      <c r="K25" s="117"/>
      <c r="L25" s="118"/>
      <c r="M25" s="119"/>
      <c r="N25" s="104"/>
      <c r="O25" s="120"/>
      <c r="P25" s="104"/>
      <c r="Q25" s="147"/>
      <c r="R25" s="148"/>
      <c r="S25" s="147"/>
      <c r="T25" s="149"/>
    </row>
    <row r="26" spans="3:20" ht="20.25" customHeight="1">
      <c r="C26" s="96">
        <f t="shared" si="0"/>
        <v>26</v>
      </c>
      <c r="D26" s="102">
        <f t="shared" si="1"/>
        <v>26</v>
      </c>
      <c r="E26" s="107" t="s">
        <v>35</v>
      </c>
      <c r="F26" s="108">
        <f>D9</f>
        <v>9</v>
      </c>
      <c r="G26" s="105"/>
      <c r="H26" s="105"/>
      <c r="I26" s="104"/>
      <c r="J26" s="104"/>
      <c r="K26" s="117"/>
      <c r="L26" s="118"/>
      <c r="M26" s="119"/>
      <c r="N26" s="104"/>
      <c r="O26" s="120"/>
      <c r="P26" s="104"/>
      <c r="Q26" s="147"/>
      <c r="R26" s="148"/>
      <c r="S26" s="147"/>
      <c r="T26" s="149"/>
    </row>
    <row r="27" spans="3:20" ht="20.25" customHeight="1">
      <c r="C27" s="96"/>
      <c r="D27" s="102">
        <f t="shared" si="1"/>
        <v>27</v>
      </c>
      <c r="E27" s="106" t="s">
        <v>735</v>
      </c>
      <c r="F27" s="104"/>
      <c r="G27" s="105" t="s">
        <v>37</v>
      </c>
      <c r="H27" s="105"/>
      <c r="I27" s="121">
        <v>24</v>
      </c>
      <c r="J27" s="121" t="s">
        <v>38</v>
      </c>
      <c r="K27" s="122">
        <v>1</v>
      </c>
      <c r="L27" s="123" t="s">
        <v>39</v>
      </c>
      <c r="M27" s="124">
        <v>1</v>
      </c>
      <c r="N27" s="121" t="s">
        <v>40</v>
      </c>
      <c r="O27" s="125">
        <v>4</v>
      </c>
      <c r="P27" s="121" t="s">
        <v>41</v>
      </c>
      <c r="Q27" s="150">
        <f>M27*O27</f>
        <v>4</v>
      </c>
      <c r="R27" s="151"/>
      <c r="S27" s="150">
        <f>Q27+R27</f>
        <v>4</v>
      </c>
      <c r="T27" s="152" t="s">
        <v>42</v>
      </c>
    </row>
    <row r="28" spans="3:20" ht="20.25" customHeight="1">
      <c r="C28" s="96"/>
      <c r="D28" s="102">
        <f t="shared" si="1"/>
        <v>28</v>
      </c>
      <c r="E28" s="109" t="s">
        <v>736</v>
      </c>
      <c r="F28" s="108">
        <f t="shared" ref="F28:F41" si="2">D27</f>
        <v>27</v>
      </c>
      <c r="G28" s="105" t="s">
        <v>44</v>
      </c>
      <c r="H28" s="105"/>
      <c r="I28" s="104">
        <v>24</v>
      </c>
      <c r="J28" s="126" t="s">
        <v>45</v>
      </c>
      <c r="K28" s="127">
        <v>1</v>
      </c>
      <c r="L28" s="118" t="s">
        <v>39</v>
      </c>
      <c r="M28" s="128">
        <f>LEFT(J28,SEARCH(" ",J28,1)-1)*K28*0.001</f>
        <v>6.7229999999999999</v>
      </c>
      <c r="N28" s="129" t="s">
        <v>46</v>
      </c>
      <c r="O28" s="130">
        <f>VLOOKUP(I28,BM!$B$3:$Y$62,2,FALSE)</f>
        <v>0.1</v>
      </c>
      <c r="P28" s="131" t="s">
        <v>47</v>
      </c>
      <c r="Q28" s="150">
        <f t="shared" ref="Q28:Q91" si="3">M28*O28</f>
        <v>0.67230000000000001</v>
      </c>
      <c r="R28" s="153">
        <v>1</v>
      </c>
      <c r="S28" s="150">
        <f t="shared" ref="S28:S91" si="4">Q28+R28</f>
        <v>1.6722999999999999</v>
      </c>
      <c r="T28" s="154" t="s">
        <v>162</v>
      </c>
    </row>
    <row r="29" spans="3:20" ht="20.25" customHeight="1">
      <c r="C29" s="96"/>
      <c r="D29" s="102">
        <f t="shared" si="1"/>
        <v>29</v>
      </c>
      <c r="E29" s="109" t="s">
        <v>737</v>
      </c>
      <c r="F29" s="108">
        <f t="shared" si="2"/>
        <v>28</v>
      </c>
      <c r="G29" s="105" t="s">
        <v>44</v>
      </c>
      <c r="H29" s="105"/>
      <c r="I29" s="104">
        <v>24</v>
      </c>
      <c r="J29" s="112"/>
      <c r="K29" s="117">
        <v>1</v>
      </c>
      <c r="L29" s="118" t="s">
        <v>50</v>
      </c>
      <c r="M29" s="128">
        <v>1</v>
      </c>
      <c r="N29" s="132" t="s">
        <v>39</v>
      </c>
      <c r="O29" s="130">
        <v>1</v>
      </c>
      <c r="P29" s="132" t="s">
        <v>41</v>
      </c>
      <c r="Q29" s="150">
        <v>1</v>
      </c>
      <c r="R29" s="148"/>
      <c r="S29" s="150">
        <f t="shared" si="4"/>
        <v>1</v>
      </c>
      <c r="T29" s="152" t="s">
        <v>42</v>
      </c>
    </row>
    <row r="30" spans="3:20" ht="20.25" customHeight="1">
      <c r="C30" s="96"/>
      <c r="D30" s="102">
        <f t="shared" si="1"/>
        <v>30</v>
      </c>
      <c r="E30" s="106" t="s">
        <v>738</v>
      </c>
      <c r="F30" s="108">
        <f t="shared" si="2"/>
        <v>29</v>
      </c>
      <c r="G30" s="105" t="s">
        <v>52</v>
      </c>
      <c r="H30" s="105"/>
      <c r="I30" s="104">
        <v>24</v>
      </c>
      <c r="J30" s="133" t="str">
        <f>J28</f>
        <v>6723 MM</v>
      </c>
      <c r="K30" s="117">
        <v>1</v>
      </c>
      <c r="L30" s="118" t="s">
        <v>50</v>
      </c>
      <c r="M30" s="128">
        <f>LEFT(J30,SEARCH(" ",J30,1)-1)*K30*0.001</f>
        <v>6.7229999999999999</v>
      </c>
      <c r="N30" s="104" t="s">
        <v>46</v>
      </c>
      <c r="O30" s="130">
        <f>VLOOKUP(I30,BM!$B$3:$Y$62,3,FALSE)</f>
        <v>0.25</v>
      </c>
      <c r="P30" s="134" t="s">
        <v>53</v>
      </c>
      <c r="Q30" s="150">
        <f t="shared" si="3"/>
        <v>1.68075</v>
      </c>
      <c r="R30" s="153">
        <v>1</v>
      </c>
      <c r="S30" s="150">
        <f t="shared" si="4"/>
        <v>2.6807499999999997</v>
      </c>
      <c r="T30" s="154" t="s">
        <v>162</v>
      </c>
    </row>
    <row r="31" spans="3:20" ht="20.25" customHeight="1">
      <c r="C31" s="96"/>
      <c r="D31" s="102">
        <f t="shared" si="1"/>
        <v>31</v>
      </c>
      <c r="E31" s="109" t="s">
        <v>739</v>
      </c>
      <c r="F31" s="108">
        <f t="shared" si="2"/>
        <v>30</v>
      </c>
      <c r="G31" s="105" t="s">
        <v>55</v>
      </c>
      <c r="H31" s="105"/>
      <c r="I31" s="104">
        <v>24</v>
      </c>
      <c r="J31" s="126" t="s">
        <v>740</v>
      </c>
      <c r="K31" s="117">
        <v>1</v>
      </c>
      <c r="L31" s="118" t="s">
        <v>50</v>
      </c>
      <c r="M31" s="135">
        <v>1</v>
      </c>
      <c r="N31" s="104" t="s">
        <v>39</v>
      </c>
      <c r="O31" s="136">
        <v>10</v>
      </c>
      <c r="P31" s="134" t="s">
        <v>41</v>
      </c>
      <c r="Q31" s="150">
        <f t="shared" si="3"/>
        <v>10</v>
      </c>
      <c r="R31" s="155"/>
      <c r="S31" s="150">
        <f t="shared" si="4"/>
        <v>10</v>
      </c>
      <c r="T31" s="154" t="s">
        <v>42</v>
      </c>
    </row>
    <row r="32" spans="3:20" ht="20.25" customHeight="1">
      <c r="C32" s="96"/>
      <c r="D32" s="102">
        <f t="shared" si="1"/>
        <v>32</v>
      </c>
      <c r="E32" s="106" t="s">
        <v>56</v>
      </c>
      <c r="F32" s="108">
        <f t="shared" si="2"/>
        <v>31</v>
      </c>
      <c r="G32" s="105" t="s">
        <v>44</v>
      </c>
      <c r="H32" s="105"/>
      <c r="I32" s="104">
        <v>24</v>
      </c>
      <c r="J32" s="133" t="str">
        <f t="shared" ref="J32:J38" si="5">J31</f>
        <v>1664 id</v>
      </c>
      <c r="K32" s="117">
        <v>1</v>
      </c>
      <c r="L32" s="118" t="s">
        <v>50</v>
      </c>
      <c r="M32" s="119">
        <v>1</v>
      </c>
      <c r="N32" s="104" t="s">
        <v>39</v>
      </c>
      <c r="O32" s="136">
        <v>1</v>
      </c>
      <c r="P32" s="134" t="s">
        <v>41</v>
      </c>
      <c r="Q32" s="150">
        <f t="shared" si="3"/>
        <v>1</v>
      </c>
      <c r="R32" s="153"/>
      <c r="S32" s="150">
        <f t="shared" si="4"/>
        <v>1</v>
      </c>
      <c r="T32" s="154" t="s">
        <v>42</v>
      </c>
    </row>
    <row r="33" spans="3:20" ht="20.25" customHeight="1">
      <c r="C33" s="96"/>
      <c r="D33" s="102">
        <f t="shared" si="1"/>
        <v>33</v>
      </c>
      <c r="E33" s="106" t="s">
        <v>57</v>
      </c>
      <c r="F33" s="108">
        <f t="shared" si="2"/>
        <v>32</v>
      </c>
      <c r="G33" s="105" t="s">
        <v>55</v>
      </c>
      <c r="H33" s="105"/>
      <c r="I33" s="104">
        <v>24</v>
      </c>
      <c r="J33" s="108" t="str">
        <f t="shared" si="5"/>
        <v>1664 id</v>
      </c>
      <c r="K33" s="117">
        <v>1</v>
      </c>
      <c r="L33" s="118" t="s">
        <v>50</v>
      </c>
      <c r="M33" s="119">
        <v>1</v>
      </c>
      <c r="N33" s="104" t="s">
        <v>39</v>
      </c>
      <c r="O33" s="136">
        <v>1</v>
      </c>
      <c r="P33" s="134" t="s">
        <v>41</v>
      </c>
      <c r="Q33" s="150">
        <f t="shared" si="3"/>
        <v>1</v>
      </c>
      <c r="R33" s="153"/>
      <c r="S33" s="150">
        <f t="shared" si="4"/>
        <v>1</v>
      </c>
      <c r="T33" s="156"/>
    </row>
    <row r="34" spans="3:20" ht="20.25" customHeight="1">
      <c r="C34" s="96"/>
      <c r="D34" s="102">
        <f t="shared" si="1"/>
        <v>34</v>
      </c>
      <c r="E34" s="106" t="s">
        <v>58</v>
      </c>
      <c r="F34" s="108">
        <f t="shared" si="2"/>
        <v>33</v>
      </c>
      <c r="G34" s="105" t="s">
        <v>55</v>
      </c>
      <c r="H34" s="105"/>
      <c r="I34" s="104">
        <v>24</v>
      </c>
      <c r="J34" s="108" t="str">
        <f t="shared" si="5"/>
        <v>1664 id</v>
      </c>
      <c r="K34" s="117">
        <v>1</v>
      </c>
      <c r="L34" s="118" t="s">
        <v>50</v>
      </c>
      <c r="M34" s="119">
        <v>1</v>
      </c>
      <c r="N34" s="104" t="s">
        <v>39</v>
      </c>
      <c r="O34" s="136">
        <v>4</v>
      </c>
      <c r="P34" s="134" t="s">
        <v>41</v>
      </c>
      <c r="Q34" s="150">
        <f t="shared" si="3"/>
        <v>4</v>
      </c>
      <c r="R34" s="153"/>
      <c r="S34" s="150">
        <f t="shared" si="4"/>
        <v>4</v>
      </c>
      <c r="T34" s="156"/>
    </row>
    <row r="35" spans="3:20" ht="20.25" customHeight="1">
      <c r="C35" s="96"/>
      <c r="D35" s="102">
        <f t="shared" si="1"/>
        <v>35</v>
      </c>
      <c r="E35" s="106" t="s">
        <v>59</v>
      </c>
      <c r="F35" s="108">
        <f t="shared" si="2"/>
        <v>34</v>
      </c>
      <c r="G35" s="105" t="s">
        <v>44</v>
      </c>
      <c r="H35" s="105"/>
      <c r="I35" s="104">
        <v>24</v>
      </c>
      <c r="J35" s="108" t="str">
        <f t="shared" si="5"/>
        <v>1664 id</v>
      </c>
      <c r="K35" s="117">
        <v>1</v>
      </c>
      <c r="L35" s="118" t="s">
        <v>50</v>
      </c>
      <c r="M35" s="119">
        <v>1</v>
      </c>
      <c r="N35" s="104" t="s">
        <v>39</v>
      </c>
      <c r="O35" s="136">
        <v>1</v>
      </c>
      <c r="P35" s="134" t="s">
        <v>41</v>
      </c>
      <c r="Q35" s="150">
        <f t="shared" si="3"/>
        <v>1</v>
      </c>
      <c r="R35" s="153"/>
      <c r="S35" s="150">
        <f t="shared" si="4"/>
        <v>1</v>
      </c>
      <c r="T35" s="156"/>
    </row>
    <row r="36" spans="3:20" ht="20.25" customHeight="1">
      <c r="C36" s="96"/>
      <c r="D36" s="102">
        <f t="shared" si="1"/>
        <v>36</v>
      </c>
      <c r="E36" s="106" t="s">
        <v>60</v>
      </c>
      <c r="F36" s="108">
        <f t="shared" si="2"/>
        <v>35</v>
      </c>
      <c r="G36" s="105" t="s">
        <v>61</v>
      </c>
      <c r="H36" s="105"/>
      <c r="I36" s="104">
        <v>24</v>
      </c>
      <c r="J36" s="108" t="str">
        <f t="shared" si="5"/>
        <v>1664 id</v>
      </c>
      <c r="K36" s="117">
        <v>1</v>
      </c>
      <c r="L36" s="118" t="s">
        <v>50</v>
      </c>
      <c r="M36" s="119">
        <v>1</v>
      </c>
      <c r="N36" s="104" t="s">
        <v>39</v>
      </c>
      <c r="O36" s="136">
        <v>1</v>
      </c>
      <c r="P36" s="134" t="s">
        <v>41</v>
      </c>
      <c r="Q36" s="150">
        <f t="shared" si="3"/>
        <v>1</v>
      </c>
      <c r="R36" s="153">
        <v>1</v>
      </c>
      <c r="S36" s="150">
        <f t="shared" si="4"/>
        <v>2</v>
      </c>
      <c r="T36" s="156">
        <v>1</v>
      </c>
    </row>
    <row r="37" spans="3:20" ht="20.25" customHeight="1">
      <c r="C37" s="96"/>
      <c r="D37" s="102">
        <f t="shared" si="1"/>
        <v>37</v>
      </c>
      <c r="E37" s="106" t="s">
        <v>62</v>
      </c>
      <c r="F37" s="108">
        <f t="shared" si="2"/>
        <v>36</v>
      </c>
      <c r="G37" s="105" t="s">
        <v>63</v>
      </c>
      <c r="H37" s="105"/>
      <c r="I37" s="104">
        <v>24</v>
      </c>
      <c r="J37" s="108" t="str">
        <f t="shared" si="5"/>
        <v>1664 id</v>
      </c>
      <c r="K37" s="117">
        <v>1</v>
      </c>
      <c r="L37" s="118" t="s">
        <v>50</v>
      </c>
      <c r="M37" s="119">
        <v>1</v>
      </c>
      <c r="N37" s="104" t="s">
        <v>39</v>
      </c>
      <c r="O37" s="136">
        <v>1</v>
      </c>
      <c r="P37" s="134" t="s">
        <v>41</v>
      </c>
      <c r="Q37" s="150">
        <f t="shared" si="3"/>
        <v>1</v>
      </c>
      <c r="R37" s="153"/>
      <c r="S37" s="150">
        <f t="shared" si="4"/>
        <v>1</v>
      </c>
      <c r="T37" s="156"/>
    </row>
    <row r="38" spans="3:20" ht="20.25" customHeight="1">
      <c r="C38" s="96"/>
      <c r="D38" s="102">
        <f t="shared" si="1"/>
        <v>38</v>
      </c>
      <c r="E38" s="106" t="s">
        <v>64</v>
      </c>
      <c r="F38" s="108">
        <f t="shared" si="2"/>
        <v>37</v>
      </c>
      <c r="G38" s="105" t="s">
        <v>63</v>
      </c>
      <c r="H38" s="105"/>
      <c r="I38" s="104">
        <v>24</v>
      </c>
      <c r="J38" s="108" t="str">
        <f t="shared" si="5"/>
        <v>1664 id</v>
      </c>
      <c r="K38" s="117">
        <v>1</v>
      </c>
      <c r="L38" s="118" t="s">
        <v>50</v>
      </c>
      <c r="M38" s="119">
        <v>1</v>
      </c>
      <c r="N38" s="104" t="s">
        <v>39</v>
      </c>
      <c r="O38" s="136">
        <v>1</v>
      </c>
      <c r="P38" s="134" t="s">
        <v>41</v>
      </c>
      <c r="Q38" s="150">
        <f t="shared" si="3"/>
        <v>1</v>
      </c>
      <c r="R38" s="153"/>
      <c r="S38" s="150">
        <f t="shared" si="4"/>
        <v>1</v>
      </c>
      <c r="T38" s="156"/>
    </row>
    <row r="39" spans="3:20" ht="20.25" customHeight="1">
      <c r="C39" s="96"/>
      <c r="D39" s="102">
        <f t="shared" si="1"/>
        <v>39</v>
      </c>
      <c r="E39" s="106" t="s">
        <v>65</v>
      </c>
      <c r="F39" s="108">
        <f t="shared" si="2"/>
        <v>38</v>
      </c>
      <c r="G39" s="105" t="s">
        <v>44</v>
      </c>
      <c r="H39" s="110" t="s">
        <v>66</v>
      </c>
      <c r="I39" s="104">
        <v>24</v>
      </c>
      <c r="J39" s="126" t="s">
        <v>67</v>
      </c>
      <c r="K39" s="117">
        <v>1</v>
      </c>
      <c r="L39" s="118" t="s">
        <v>50</v>
      </c>
      <c r="M39" s="128">
        <f>LEFT(J39,SEARCH(" ",J39,1)-1)*K39*0.001*3.142</f>
        <v>5.3162639999999994</v>
      </c>
      <c r="N39" s="104" t="s">
        <v>68</v>
      </c>
      <c r="O39" s="130">
        <f>VLOOKUP(I39,BM!$B$3:$Y$62,2,FALSE)</f>
        <v>0.1</v>
      </c>
      <c r="P39" s="134" t="s">
        <v>53</v>
      </c>
      <c r="Q39" s="150">
        <f t="shared" si="3"/>
        <v>0.53162639999999994</v>
      </c>
      <c r="R39" s="153">
        <v>1</v>
      </c>
      <c r="S39" s="150">
        <f t="shared" si="4"/>
        <v>1.5316263999999999</v>
      </c>
      <c r="T39" s="154" t="s">
        <v>162</v>
      </c>
    </row>
    <row r="40" spans="3:20" ht="20.25" customHeight="1">
      <c r="C40" s="96"/>
      <c r="D40" s="102">
        <f t="shared" si="1"/>
        <v>40</v>
      </c>
      <c r="E40" s="106" t="s">
        <v>69</v>
      </c>
      <c r="F40" s="108">
        <f t="shared" si="2"/>
        <v>39</v>
      </c>
      <c r="G40" s="105" t="s">
        <v>52</v>
      </c>
      <c r="H40" s="105"/>
      <c r="I40" s="104">
        <v>24</v>
      </c>
      <c r="J40" s="137" t="str">
        <f>J39</f>
        <v>1692 od</v>
      </c>
      <c r="K40" s="117">
        <v>1</v>
      </c>
      <c r="L40" s="118" t="s">
        <v>50</v>
      </c>
      <c r="M40" s="128">
        <f>LEFT(J40,SEARCH(" ",J40,1)-1)*K40*0.001*3.142</f>
        <v>5.3162639999999994</v>
      </c>
      <c r="N40" s="104" t="s">
        <v>68</v>
      </c>
      <c r="O40" s="130">
        <f>VLOOKUP(I40,BM!$B$3:$Y$62,15,FALSE)</f>
        <v>1</v>
      </c>
      <c r="P40" s="134" t="s">
        <v>53</v>
      </c>
      <c r="Q40" s="150">
        <f t="shared" si="3"/>
        <v>5.3162639999999994</v>
      </c>
      <c r="R40" s="153">
        <v>1</v>
      </c>
      <c r="S40" s="150">
        <f t="shared" si="4"/>
        <v>6.3162639999999994</v>
      </c>
      <c r="T40" s="154" t="s">
        <v>162</v>
      </c>
    </row>
    <row r="41" spans="3:20" ht="20.25" customHeight="1">
      <c r="C41" s="96"/>
      <c r="D41" s="102">
        <f t="shared" si="1"/>
        <v>41</v>
      </c>
      <c r="E41" s="106" t="s">
        <v>70</v>
      </c>
      <c r="F41" s="108">
        <f t="shared" si="2"/>
        <v>40</v>
      </c>
      <c r="G41" s="105" t="s">
        <v>61</v>
      </c>
      <c r="H41" s="105"/>
      <c r="I41" s="104">
        <v>24</v>
      </c>
      <c r="J41" s="137" t="str">
        <f>J40</f>
        <v>1692 od</v>
      </c>
      <c r="K41" s="117">
        <v>1</v>
      </c>
      <c r="L41" s="118" t="s">
        <v>50</v>
      </c>
      <c r="M41" s="128">
        <f>LEFT(J41,SEARCH(" ",J41,1)-1)*K41*0.001*3.142</f>
        <v>5.3162639999999994</v>
      </c>
      <c r="N41" s="104" t="s">
        <v>68</v>
      </c>
      <c r="O41" s="130">
        <f>VLOOKUP(I41,BM!$B$3:$Y$62,6,FALSE)</f>
        <v>1</v>
      </c>
      <c r="P41" s="134" t="s">
        <v>53</v>
      </c>
      <c r="Q41" s="150">
        <f t="shared" si="3"/>
        <v>5.3162639999999994</v>
      </c>
      <c r="R41" s="153"/>
      <c r="S41" s="150">
        <f t="shared" si="4"/>
        <v>5.3162639999999994</v>
      </c>
      <c r="T41" s="154" t="s">
        <v>162</v>
      </c>
    </row>
    <row r="42" spans="3:20" ht="20.25" customHeight="1">
      <c r="C42" s="96">
        <f t="shared" ref="C42:C43" si="6">D42</f>
        <v>42</v>
      </c>
      <c r="D42" s="102">
        <f t="shared" si="1"/>
        <v>42</v>
      </c>
      <c r="E42" s="103" t="s">
        <v>71</v>
      </c>
      <c r="F42" s="104"/>
      <c r="G42" s="105"/>
      <c r="H42" s="105"/>
      <c r="I42" s="104"/>
      <c r="J42" s="104"/>
      <c r="K42" s="117"/>
      <c r="L42" s="118"/>
      <c r="M42" s="119"/>
      <c r="N42" s="104"/>
      <c r="O42" s="136"/>
      <c r="P42" s="134"/>
      <c r="Q42" s="150"/>
      <c r="R42" s="153"/>
      <c r="S42" s="150"/>
      <c r="T42" s="156"/>
    </row>
    <row r="43" spans="3:20" ht="20.25" customHeight="1">
      <c r="C43" s="96">
        <f t="shared" si="6"/>
        <v>43</v>
      </c>
      <c r="D43" s="102">
        <f t="shared" si="1"/>
        <v>43</v>
      </c>
      <c r="E43" s="103" t="s">
        <v>72</v>
      </c>
      <c r="F43" s="108">
        <f>D10</f>
        <v>10</v>
      </c>
      <c r="G43" s="105"/>
      <c r="H43" s="105"/>
      <c r="I43" s="104"/>
      <c r="J43" s="104"/>
      <c r="K43" s="117"/>
      <c r="L43" s="118"/>
      <c r="M43" s="119"/>
      <c r="N43" s="104"/>
      <c r="O43" s="136"/>
      <c r="P43" s="134"/>
      <c r="Q43" s="157"/>
      <c r="R43" s="153"/>
      <c r="S43" s="157"/>
      <c r="T43" s="156"/>
    </row>
    <row r="44" spans="3:20" ht="20.25" customHeight="1">
      <c r="C44" s="96"/>
      <c r="D44" s="102">
        <f t="shared" si="1"/>
        <v>44</v>
      </c>
      <c r="E44" s="106" t="s">
        <v>73</v>
      </c>
      <c r="F44" s="104"/>
      <c r="G44" s="105"/>
      <c r="H44" s="110" t="s">
        <v>66</v>
      </c>
      <c r="I44" s="138" t="s">
        <v>74</v>
      </c>
      <c r="J44" s="138" t="s">
        <v>90</v>
      </c>
      <c r="K44" s="117">
        <v>1</v>
      </c>
      <c r="L44" s="118" t="s">
        <v>39</v>
      </c>
      <c r="M44" s="119">
        <v>1</v>
      </c>
      <c r="N44" s="104" t="s">
        <v>50</v>
      </c>
      <c r="O44" s="136">
        <v>2</v>
      </c>
      <c r="P44" s="134" t="s">
        <v>41</v>
      </c>
      <c r="Q44" s="150">
        <f t="shared" si="3"/>
        <v>2</v>
      </c>
      <c r="R44" s="153"/>
      <c r="S44" s="150">
        <f t="shared" si="4"/>
        <v>2</v>
      </c>
      <c r="T44" s="154" t="s">
        <v>741</v>
      </c>
    </row>
    <row r="45" spans="3:20" ht="20.25" customHeight="1">
      <c r="C45" s="96"/>
      <c r="D45" s="102">
        <f t="shared" si="1"/>
        <v>45</v>
      </c>
      <c r="E45" s="106" t="s">
        <v>75</v>
      </c>
      <c r="F45" s="108">
        <f>D44</f>
        <v>44</v>
      </c>
      <c r="G45" s="105" t="s">
        <v>55</v>
      </c>
      <c r="H45" s="105"/>
      <c r="I45" s="137" t="str">
        <f>I44</f>
        <v>145 t</v>
      </c>
      <c r="J45" s="138" t="s">
        <v>92</v>
      </c>
      <c r="K45" s="117">
        <v>1</v>
      </c>
      <c r="L45" s="118" t="s">
        <v>39</v>
      </c>
      <c r="M45" s="119">
        <v>1</v>
      </c>
      <c r="N45" s="104" t="s">
        <v>50</v>
      </c>
      <c r="O45" s="136">
        <v>5</v>
      </c>
      <c r="P45" s="134" t="s">
        <v>41</v>
      </c>
      <c r="Q45" s="150">
        <f t="shared" si="3"/>
        <v>5</v>
      </c>
      <c r="R45" s="153"/>
      <c r="S45" s="150">
        <f t="shared" si="4"/>
        <v>5</v>
      </c>
      <c r="T45" s="154" t="s">
        <v>741</v>
      </c>
    </row>
    <row r="46" spans="3:20" ht="20.25" customHeight="1">
      <c r="C46" s="96">
        <f>D46</f>
        <v>46</v>
      </c>
      <c r="D46" s="102">
        <f t="shared" si="1"/>
        <v>46</v>
      </c>
      <c r="E46" s="103" t="s">
        <v>76</v>
      </c>
      <c r="F46" s="108">
        <f>D43</f>
        <v>43</v>
      </c>
      <c r="G46" s="105"/>
      <c r="H46" s="105"/>
      <c r="I46" s="104"/>
      <c r="J46" s="104"/>
      <c r="K46" s="117"/>
      <c r="L46" s="118"/>
      <c r="M46" s="119"/>
      <c r="N46" s="104"/>
      <c r="O46" s="136"/>
      <c r="P46" s="134"/>
      <c r="Q46" s="150"/>
      <c r="R46" s="153"/>
      <c r="S46" s="150"/>
      <c r="T46" s="156"/>
    </row>
    <row r="47" spans="3:20" ht="20.25" customHeight="1">
      <c r="C47" s="96"/>
      <c r="D47" s="102">
        <f t="shared" si="1"/>
        <v>47</v>
      </c>
      <c r="E47" s="106" t="s">
        <v>77</v>
      </c>
      <c r="F47" s="108">
        <f t="shared" ref="F47:F52" si="7">D46</f>
        <v>46</v>
      </c>
      <c r="G47" s="105" t="s">
        <v>55</v>
      </c>
      <c r="H47" s="105"/>
      <c r="I47" s="139" t="str">
        <f>I44</f>
        <v>145 t</v>
      </c>
      <c r="J47" s="138" t="s">
        <v>78</v>
      </c>
      <c r="K47" s="117">
        <v>1</v>
      </c>
      <c r="L47" s="118" t="s">
        <v>39</v>
      </c>
      <c r="M47" s="128">
        <f>LEFT(J47,SEARCH(" ",J47,1)-1)*LEFT(I47,SEARCH(" ",I47,1)-1)*K47/1000</f>
        <v>189.66</v>
      </c>
      <c r="N47" s="104" t="s">
        <v>79</v>
      </c>
      <c r="O47" s="130">
        <f>1/1.5^1</f>
        <v>0.66666666666666663</v>
      </c>
      <c r="P47" s="134" t="s">
        <v>47</v>
      </c>
      <c r="Q47" s="150">
        <f>M47*O47/24</f>
        <v>5.2683333333333335</v>
      </c>
      <c r="R47" s="153"/>
      <c r="S47" s="150">
        <f t="shared" si="4"/>
        <v>5.2683333333333335</v>
      </c>
      <c r="T47" s="154" t="s">
        <v>41</v>
      </c>
    </row>
    <row r="48" spans="3:20" ht="20.25" customHeight="1">
      <c r="C48" s="96"/>
      <c r="D48" s="102">
        <f t="shared" si="1"/>
        <v>48</v>
      </c>
      <c r="E48" s="106" t="s">
        <v>80</v>
      </c>
      <c r="F48" s="108">
        <f t="shared" si="7"/>
        <v>47</v>
      </c>
      <c r="G48" s="105" t="s">
        <v>55</v>
      </c>
      <c r="H48" s="105"/>
      <c r="I48" s="140" t="str">
        <f>I44</f>
        <v>145 t</v>
      </c>
      <c r="J48" s="140" t="str">
        <f>J47</f>
        <v>1308 holes</v>
      </c>
      <c r="K48" s="117">
        <v>1</v>
      </c>
      <c r="L48" s="118" t="s">
        <v>40</v>
      </c>
      <c r="M48" s="128" t="str">
        <f>LEFT(J48,SEARCH(" ",J48,1)-1)</f>
        <v>1308</v>
      </c>
      <c r="N48" s="132" t="s">
        <v>81</v>
      </c>
      <c r="O48" s="130">
        <f>1/60*5</f>
        <v>8.3333333333333329E-2</v>
      </c>
      <c r="P48" s="134" t="s">
        <v>47</v>
      </c>
      <c r="Q48" s="150">
        <f>M48*O48/24</f>
        <v>4.541666666666667</v>
      </c>
      <c r="R48" s="153"/>
      <c r="S48" s="150">
        <f t="shared" ref="S48" si="8">Q48+R48</f>
        <v>4.541666666666667</v>
      </c>
      <c r="T48" s="154" t="s">
        <v>41</v>
      </c>
    </row>
    <row r="49" spans="2:20" ht="20.25" customHeight="1">
      <c r="C49" s="96"/>
      <c r="D49" s="102">
        <f t="shared" si="1"/>
        <v>49</v>
      </c>
      <c r="E49" s="106" t="s">
        <v>82</v>
      </c>
      <c r="F49" s="108">
        <f t="shared" si="7"/>
        <v>48</v>
      </c>
      <c r="G49" s="105" t="s">
        <v>55</v>
      </c>
      <c r="H49" s="105"/>
      <c r="I49" s="140" t="str">
        <f>I44</f>
        <v>145 t</v>
      </c>
      <c r="J49" s="104"/>
      <c r="K49" s="117">
        <v>1</v>
      </c>
      <c r="L49" s="141" t="s">
        <v>83</v>
      </c>
      <c r="M49" s="142">
        <v>1</v>
      </c>
      <c r="N49" s="132" t="s">
        <v>84</v>
      </c>
      <c r="O49" s="130">
        <v>1</v>
      </c>
      <c r="P49" s="131" t="s">
        <v>41</v>
      </c>
      <c r="Q49" s="150">
        <f>M49*O49</f>
        <v>1</v>
      </c>
      <c r="R49" s="153"/>
      <c r="S49" s="150">
        <f t="shared" ref="S49" si="9">Q49+R49</f>
        <v>1</v>
      </c>
      <c r="T49" s="154" t="s">
        <v>41</v>
      </c>
    </row>
    <row r="50" spans="2:20" ht="20.25" customHeight="1">
      <c r="C50" s="96"/>
      <c r="D50" s="102">
        <f t="shared" si="1"/>
        <v>50</v>
      </c>
      <c r="E50" s="106" t="s">
        <v>85</v>
      </c>
      <c r="F50" s="108">
        <f t="shared" si="7"/>
        <v>49</v>
      </c>
      <c r="G50" s="105" t="s">
        <v>55</v>
      </c>
      <c r="H50" s="105"/>
      <c r="I50" s="140" t="str">
        <f>I44</f>
        <v>145 t</v>
      </c>
      <c r="J50" s="104"/>
      <c r="K50" s="117">
        <v>1</v>
      </c>
      <c r="L50" s="141" t="s">
        <v>83</v>
      </c>
      <c r="M50" s="119">
        <v>1</v>
      </c>
      <c r="N50" s="132" t="s">
        <v>84</v>
      </c>
      <c r="O50" s="136">
        <v>4</v>
      </c>
      <c r="P50" s="134" t="s">
        <v>41</v>
      </c>
      <c r="Q50" s="150">
        <f t="shared" si="3"/>
        <v>4</v>
      </c>
      <c r="R50" s="153"/>
      <c r="S50" s="150">
        <f t="shared" si="4"/>
        <v>4</v>
      </c>
      <c r="T50" s="154" t="s">
        <v>41</v>
      </c>
    </row>
    <row r="51" spans="2:20" ht="20.25" customHeight="1">
      <c r="C51" s="96"/>
      <c r="D51" s="102">
        <f t="shared" si="1"/>
        <v>51</v>
      </c>
      <c r="E51" s="106" t="s">
        <v>86</v>
      </c>
      <c r="F51" s="108">
        <f t="shared" si="7"/>
        <v>50</v>
      </c>
      <c r="G51" s="105" t="s">
        <v>44</v>
      </c>
      <c r="H51" s="105"/>
      <c r="I51" s="140" t="str">
        <f>I44</f>
        <v>145 t</v>
      </c>
      <c r="J51" s="140" t="str">
        <f>J47</f>
        <v>1308 holes</v>
      </c>
      <c r="K51" s="117">
        <v>1</v>
      </c>
      <c r="L51" s="118" t="s">
        <v>40</v>
      </c>
      <c r="M51" s="128" t="str">
        <f>LEFT(J51,SEARCH(" ",J51,1)-1)</f>
        <v>1308</v>
      </c>
      <c r="N51" s="104" t="s">
        <v>40</v>
      </c>
      <c r="O51" s="130">
        <f>1/60*3</f>
        <v>0.05</v>
      </c>
      <c r="P51" s="134" t="s">
        <v>87</v>
      </c>
      <c r="Q51" s="150">
        <f t="shared" si="3"/>
        <v>65.400000000000006</v>
      </c>
      <c r="R51" s="153"/>
      <c r="S51" s="150">
        <f t="shared" si="4"/>
        <v>65.400000000000006</v>
      </c>
      <c r="T51" s="154" t="s">
        <v>48</v>
      </c>
    </row>
    <row r="52" spans="2:20" ht="20.25" customHeight="1">
      <c r="C52" s="96"/>
      <c r="D52" s="102">
        <f t="shared" si="1"/>
        <v>52</v>
      </c>
      <c r="E52" s="106" t="s">
        <v>88</v>
      </c>
      <c r="F52" s="108">
        <f t="shared" si="7"/>
        <v>51</v>
      </c>
      <c r="G52" s="105" t="s">
        <v>44</v>
      </c>
      <c r="H52" s="105"/>
      <c r="I52" s="104"/>
      <c r="J52" s="104"/>
      <c r="K52" s="117"/>
      <c r="L52" s="118"/>
      <c r="M52" s="119"/>
      <c r="N52" s="104"/>
      <c r="O52" s="136"/>
      <c r="P52" s="134"/>
      <c r="Q52" s="150"/>
      <c r="R52" s="153"/>
      <c r="S52" s="150"/>
      <c r="T52" s="156"/>
    </row>
    <row r="53" spans="2:20" ht="20.25" customHeight="1">
      <c r="C53" s="96">
        <f>D53</f>
        <v>53</v>
      </c>
      <c r="D53" s="102">
        <f t="shared" si="1"/>
        <v>53</v>
      </c>
      <c r="E53" s="103" t="s">
        <v>89</v>
      </c>
      <c r="F53" s="108">
        <f>D10</f>
        <v>10</v>
      </c>
      <c r="G53" s="105"/>
      <c r="H53" s="105"/>
      <c r="I53" s="104"/>
      <c r="J53" s="104"/>
      <c r="K53" s="117"/>
      <c r="L53" s="118"/>
      <c r="M53" s="119"/>
      <c r="N53" s="104"/>
      <c r="O53" s="136"/>
      <c r="P53" s="134"/>
      <c r="Q53" s="150"/>
      <c r="R53" s="153"/>
      <c r="S53" s="150"/>
      <c r="T53" s="156"/>
    </row>
    <row r="54" spans="2:20" ht="20.25" customHeight="1">
      <c r="C54" s="96"/>
      <c r="D54" s="102">
        <f t="shared" si="1"/>
        <v>54</v>
      </c>
      <c r="E54" s="106" t="s">
        <v>73</v>
      </c>
      <c r="F54" s="108">
        <f>D53</f>
        <v>53</v>
      </c>
      <c r="G54" s="105"/>
      <c r="H54" s="105"/>
      <c r="I54" s="138" t="s">
        <v>74</v>
      </c>
      <c r="J54" s="138" t="s">
        <v>90</v>
      </c>
      <c r="K54" s="117">
        <v>1</v>
      </c>
      <c r="L54" s="118" t="s">
        <v>39</v>
      </c>
      <c r="M54" s="119">
        <v>1</v>
      </c>
      <c r="N54" s="104" t="s">
        <v>50</v>
      </c>
      <c r="O54" s="136">
        <v>2</v>
      </c>
      <c r="P54" s="134" t="s">
        <v>41</v>
      </c>
      <c r="Q54" s="150">
        <f t="shared" ref="Q54:Q55" si="10">M54*O54</f>
        <v>2</v>
      </c>
      <c r="R54" s="153"/>
      <c r="S54" s="150">
        <f t="shared" ref="S54:S55" si="11">Q54+R54</f>
        <v>2</v>
      </c>
      <c r="T54" s="154" t="s">
        <v>741</v>
      </c>
    </row>
    <row r="55" spans="2:20" ht="20.25" customHeight="1">
      <c r="C55" s="96"/>
      <c r="D55" s="102">
        <f t="shared" si="1"/>
        <v>55</v>
      </c>
      <c r="E55" s="106" t="s">
        <v>91</v>
      </c>
      <c r="F55" s="108">
        <f>D54</f>
        <v>54</v>
      </c>
      <c r="G55" s="105" t="s">
        <v>55</v>
      </c>
      <c r="H55" s="105"/>
      <c r="I55" s="137" t="str">
        <f>I54</f>
        <v>145 t</v>
      </c>
      <c r="J55" s="138" t="s">
        <v>92</v>
      </c>
      <c r="K55" s="117">
        <v>1</v>
      </c>
      <c r="L55" s="118" t="s">
        <v>39</v>
      </c>
      <c r="M55" s="119">
        <v>1</v>
      </c>
      <c r="N55" s="104" t="s">
        <v>50</v>
      </c>
      <c r="O55" s="136">
        <v>5</v>
      </c>
      <c r="P55" s="134" t="s">
        <v>41</v>
      </c>
      <c r="Q55" s="150">
        <f t="shared" si="10"/>
        <v>5</v>
      </c>
      <c r="R55" s="153"/>
      <c r="S55" s="150">
        <f t="shared" si="11"/>
        <v>5</v>
      </c>
      <c r="T55" s="154" t="s">
        <v>741</v>
      </c>
    </row>
    <row r="56" spans="2:20" ht="20.25" customHeight="1">
      <c r="B56" s="111"/>
      <c r="C56" s="96">
        <f>D56</f>
        <v>56</v>
      </c>
      <c r="D56" s="102">
        <f t="shared" si="1"/>
        <v>56</v>
      </c>
      <c r="E56" s="103" t="s">
        <v>93</v>
      </c>
      <c r="F56" s="108"/>
      <c r="G56" s="105"/>
      <c r="H56" s="105"/>
      <c r="I56" s="104"/>
      <c r="J56" s="104"/>
      <c r="K56" s="117"/>
      <c r="L56" s="118"/>
      <c r="M56" s="119"/>
      <c r="N56" s="104"/>
      <c r="O56" s="136"/>
      <c r="P56" s="134"/>
      <c r="Q56" s="150"/>
      <c r="R56" s="153"/>
      <c r="S56" s="150"/>
      <c r="T56" s="156"/>
    </row>
    <row r="57" spans="2:20" ht="20.25" customHeight="1">
      <c r="C57" s="96"/>
      <c r="D57" s="102">
        <f t="shared" si="1"/>
        <v>57</v>
      </c>
      <c r="E57" s="106" t="s">
        <v>94</v>
      </c>
      <c r="F57" s="112">
        <f>D47</f>
        <v>47</v>
      </c>
      <c r="G57" s="105" t="s">
        <v>55</v>
      </c>
      <c r="H57" s="105"/>
      <c r="I57" s="139" t="str">
        <f>I54</f>
        <v>145 t</v>
      </c>
      <c r="J57" s="138" t="s">
        <v>78</v>
      </c>
      <c r="K57" s="117">
        <v>1</v>
      </c>
      <c r="L57" s="118" t="s">
        <v>39</v>
      </c>
      <c r="M57" s="128">
        <f>LEFT(J57,SEARCH(" ",J57,1)-1)*LEFT(I57,SEARCH(" ",I57,1)-1)*K57/1000</f>
        <v>189.66</v>
      </c>
      <c r="N57" s="104" t="s">
        <v>79</v>
      </c>
      <c r="O57" s="130">
        <f>1/1.5^1</f>
        <v>0.66666666666666663</v>
      </c>
      <c r="P57" s="134" t="s">
        <v>47</v>
      </c>
      <c r="Q57" s="150">
        <f>M57*O57/24</f>
        <v>5.2683333333333335</v>
      </c>
      <c r="R57" s="153"/>
      <c r="S57" s="150">
        <f t="shared" ref="S57:S61" si="12">Q57+R57</f>
        <v>5.2683333333333335</v>
      </c>
      <c r="T57" s="154" t="s">
        <v>41</v>
      </c>
    </row>
    <row r="58" spans="2:20" ht="20.25" customHeight="1">
      <c r="C58" s="96"/>
      <c r="D58" s="102">
        <f t="shared" si="1"/>
        <v>58</v>
      </c>
      <c r="E58" s="106" t="s">
        <v>95</v>
      </c>
      <c r="F58" s="108">
        <f>D57</f>
        <v>57</v>
      </c>
      <c r="G58" s="105" t="s">
        <v>55</v>
      </c>
      <c r="H58" s="105"/>
      <c r="I58" s="140" t="str">
        <f>I54</f>
        <v>145 t</v>
      </c>
      <c r="J58" s="140" t="str">
        <f>J57</f>
        <v>1308 holes</v>
      </c>
      <c r="K58" s="117">
        <v>1</v>
      </c>
      <c r="L58" s="118" t="s">
        <v>40</v>
      </c>
      <c r="M58" s="128" t="str">
        <f>LEFT(J58,SEARCH(" ",J58,1)-1)</f>
        <v>1308</v>
      </c>
      <c r="N58" s="132" t="s">
        <v>81</v>
      </c>
      <c r="O58" s="130">
        <f>1/60*5</f>
        <v>8.3333333333333329E-2</v>
      </c>
      <c r="P58" s="134" t="s">
        <v>47</v>
      </c>
      <c r="Q58" s="150">
        <f>M58*O58/24</f>
        <v>4.541666666666667</v>
      </c>
      <c r="R58" s="153"/>
      <c r="S58" s="150">
        <f t="shared" si="12"/>
        <v>4.541666666666667</v>
      </c>
      <c r="T58" s="154" t="s">
        <v>41</v>
      </c>
    </row>
    <row r="59" spans="2:20" ht="20.25" customHeight="1">
      <c r="C59" s="96"/>
      <c r="D59" s="102">
        <f t="shared" si="1"/>
        <v>59</v>
      </c>
      <c r="E59" s="106" t="s">
        <v>96</v>
      </c>
      <c r="F59" s="108">
        <f>D58</f>
        <v>58</v>
      </c>
      <c r="G59" s="105" t="s">
        <v>55</v>
      </c>
      <c r="H59" s="105"/>
      <c r="I59" s="140" t="str">
        <f>I54</f>
        <v>145 t</v>
      </c>
      <c r="J59" s="104"/>
      <c r="K59" s="117">
        <v>1</v>
      </c>
      <c r="L59" s="141" t="s">
        <v>83</v>
      </c>
      <c r="M59" s="142">
        <v>1</v>
      </c>
      <c r="N59" s="132" t="s">
        <v>84</v>
      </c>
      <c r="O59" s="130">
        <v>1</v>
      </c>
      <c r="P59" s="131" t="s">
        <v>41</v>
      </c>
      <c r="Q59" s="150">
        <f>M59*O59</f>
        <v>1</v>
      </c>
      <c r="R59" s="153"/>
      <c r="S59" s="150">
        <f t="shared" si="12"/>
        <v>1</v>
      </c>
      <c r="T59" s="154" t="s">
        <v>41</v>
      </c>
    </row>
    <row r="60" spans="2:20" ht="20.25" customHeight="1">
      <c r="C60" s="96"/>
      <c r="D60" s="102">
        <f t="shared" si="1"/>
        <v>60</v>
      </c>
      <c r="E60" s="106" t="s">
        <v>97</v>
      </c>
      <c r="F60" s="108">
        <f>D59</f>
        <v>59</v>
      </c>
      <c r="G60" s="105" t="s">
        <v>55</v>
      </c>
      <c r="H60" s="105"/>
      <c r="I60" s="140" t="str">
        <f>I54</f>
        <v>145 t</v>
      </c>
      <c r="J60" s="104"/>
      <c r="K60" s="117">
        <v>1</v>
      </c>
      <c r="L60" s="141" t="s">
        <v>83</v>
      </c>
      <c r="M60" s="119">
        <v>1</v>
      </c>
      <c r="N60" s="132" t="s">
        <v>84</v>
      </c>
      <c r="O60" s="136">
        <v>4</v>
      </c>
      <c r="P60" s="134" t="s">
        <v>41</v>
      </c>
      <c r="Q60" s="150">
        <f t="shared" ref="Q60:Q61" si="13">M60*O60</f>
        <v>4</v>
      </c>
      <c r="R60" s="153"/>
      <c r="S60" s="150">
        <f t="shared" si="12"/>
        <v>4</v>
      </c>
      <c r="T60" s="154" t="s">
        <v>41</v>
      </c>
    </row>
    <row r="61" spans="2:20" ht="20.25" customHeight="1">
      <c r="C61" s="96"/>
      <c r="D61" s="102">
        <f t="shared" si="1"/>
        <v>61</v>
      </c>
      <c r="E61" s="106" t="s">
        <v>98</v>
      </c>
      <c r="F61" s="108">
        <f>D60</f>
        <v>60</v>
      </c>
      <c r="G61" s="105" t="s">
        <v>44</v>
      </c>
      <c r="H61" s="105"/>
      <c r="I61" s="140" t="str">
        <f>I54</f>
        <v>145 t</v>
      </c>
      <c r="J61" s="140" t="str">
        <f>J57</f>
        <v>1308 holes</v>
      </c>
      <c r="K61" s="117">
        <v>1</v>
      </c>
      <c r="L61" s="118" t="s">
        <v>40</v>
      </c>
      <c r="M61" s="128" t="str">
        <f>LEFT(J61,SEARCH(" ",J61,1)-1)</f>
        <v>1308</v>
      </c>
      <c r="N61" s="104" t="s">
        <v>40</v>
      </c>
      <c r="O61" s="130">
        <f>1/60*3</f>
        <v>0.05</v>
      </c>
      <c r="P61" s="134" t="s">
        <v>87</v>
      </c>
      <c r="Q61" s="150">
        <f t="shared" si="13"/>
        <v>65.400000000000006</v>
      </c>
      <c r="R61" s="153"/>
      <c r="S61" s="150">
        <f t="shared" si="12"/>
        <v>65.400000000000006</v>
      </c>
      <c r="T61" s="154" t="s">
        <v>48</v>
      </c>
    </row>
    <row r="62" spans="2:20" ht="20.25" customHeight="1">
      <c r="C62" s="96"/>
      <c r="D62" s="102">
        <f t="shared" si="1"/>
        <v>62</v>
      </c>
      <c r="E62" s="106" t="s">
        <v>99</v>
      </c>
      <c r="F62" s="108">
        <f>D61</f>
        <v>61</v>
      </c>
      <c r="G62" s="105" t="s">
        <v>44</v>
      </c>
      <c r="H62" s="105"/>
      <c r="I62" s="104"/>
      <c r="J62" s="104"/>
      <c r="K62" s="117">
        <v>1</v>
      </c>
      <c r="L62" s="118"/>
      <c r="M62" s="128">
        <v>1050</v>
      </c>
      <c r="N62" s="104" t="s">
        <v>40</v>
      </c>
      <c r="O62" s="130">
        <f>1/60*3</f>
        <v>0.05</v>
      </c>
      <c r="P62" s="134" t="s">
        <v>53</v>
      </c>
      <c r="Q62" s="150">
        <f t="shared" si="3"/>
        <v>52.5</v>
      </c>
      <c r="R62" s="153">
        <v>1</v>
      </c>
      <c r="S62" s="150">
        <f t="shared" si="4"/>
        <v>53.5</v>
      </c>
      <c r="T62" s="156">
        <v>1</v>
      </c>
    </row>
    <row r="63" spans="2:20" ht="20.25" customHeight="1">
      <c r="B63" s="111"/>
      <c r="C63" s="96">
        <f t="shared" ref="C63:C64" si="14">D63</f>
        <v>63</v>
      </c>
      <c r="D63" s="102">
        <f t="shared" si="1"/>
        <v>63</v>
      </c>
      <c r="E63" s="103" t="s">
        <v>742</v>
      </c>
      <c r="F63" s="108">
        <f>D19</f>
        <v>19</v>
      </c>
      <c r="G63" s="104"/>
      <c r="H63" s="104"/>
      <c r="I63" s="104"/>
      <c r="J63" s="104"/>
      <c r="K63" s="118"/>
      <c r="L63" s="118"/>
      <c r="M63" s="119"/>
      <c r="N63" s="104"/>
      <c r="O63" s="120"/>
      <c r="P63" s="104"/>
      <c r="Q63" s="150"/>
      <c r="R63" s="148"/>
      <c r="S63" s="150"/>
      <c r="T63" s="149"/>
    </row>
    <row r="64" spans="2:20" ht="20.25" customHeight="1">
      <c r="B64" s="111"/>
      <c r="C64" s="96">
        <f t="shared" si="14"/>
        <v>64</v>
      </c>
      <c r="D64" s="102">
        <f t="shared" si="1"/>
        <v>64</v>
      </c>
      <c r="E64" s="113" t="s">
        <v>101</v>
      </c>
      <c r="F64" s="108">
        <f>D3</f>
        <v>3</v>
      </c>
      <c r="G64" s="105"/>
      <c r="H64" s="105"/>
      <c r="I64" s="104"/>
      <c r="J64" s="104"/>
      <c r="K64" s="118"/>
      <c r="L64" s="118"/>
      <c r="M64" s="119"/>
      <c r="N64" s="104"/>
      <c r="O64" s="120"/>
      <c r="P64" s="104"/>
      <c r="Q64" s="150"/>
      <c r="R64" s="148"/>
      <c r="S64" s="150"/>
      <c r="T64" s="149"/>
    </row>
    <row r="65" spans="2:20" ht="20.25" customHeight="1">
      <c r="C65" s="96"/>
      <c r="D65" s="102">
        <f t="shared" si="1"/>
        <v>65</v>
      </c>
      <c r="E65" s="158" t="s">
        <v>102</v>
      </c>
      <c r="F65" s="108">
        <f>D64</f>
        <v>64</v>
      </c>
      <c r="G65" s="105" t="s">
        <v>44</v>
      </c>
      <c r="H65" s="105"/>
      <c r="I65" s="138" t="s">
        <v>103</v>
      </c>
      <c r="J65" s="104"/>
      <c r="K65" s="160">
        <v>2</v>
      </c>
      <c r="L65" s="118" t="s">
        <v>81</v>
      </c>
      <c r="M65" s="161">
        <f>K65</f>
        <v>2</v>
      </c>
      <c r="N65" s="104" t="s">
        <v>81</v>
      </c>
      <c r="O65" s="120">
        <v>1</v>
      </c>
      <c r="P65" s="104"/>
      <c r="Q65" s="150">
        <f t="shared" si="3"/>
        <v>2</v>
      </c>
      <c r="R65" s="148">
        <v>1</v>
      </c>
      <c r="S65" s="150">
        <f t="shared" si="4"/>
        <v>3</v>
      </c>
      <c r="T65" s="154" t="s">
        <v>48</v>
      </c>
    </row>
    <row r="66" spans="2:20" ht="20.25" customHeight="1">
      <c r="C66" s="96"/>
      <c r="D66" s="102">
        <f t="shared" si="1"/>
        <v>66</v>
      </c>
      <c r="E66" s="158" t="s">
        <v>104</v>
      </c>
      <c r="F66" s="108">
        <f>D65</f>
        <v>65</v>
      </c>
      <c r="G66" s="105" t="s">
        <v>44</v>
      </c>
      <c r="H66" s="105"/>
      <c r="I66" s="138" t="s">
        <v>105</v>
      </c>
      <c r="J66" s="104"/>
      <c r="K66" s="160">
        <v>2</v>
      </c>
      <c r="L66" s="118" t="s">
        <v>81</v>
      </c>
      <c r="M66" s="161">
        <f>K66</f>
        <v>2</v>
      </c>
      <c r="N66" s="104" t="s">
        <v>81</v>
      </c>
      <c r="O66" s="120">
        <v>1</v>
      </c>
      <c r="P66" s="104"/>
      <c r="Q66" s="150">
        <f t="shared" si="3"/>
        <v>2</v>
      </c>
      <c r="R66" s="148">
        <v>1</v>
      </c>
      <c r="S66" s="150">
        <f t="shared" si="4"/>
        <v>3</v>
      </c>
      <c r="T66" s="154" t="s">
        <v>48</v>
      </c>
    </row>
    <row r="67" spans="2:20" ht="20.25" customHeight="1">
      <c r="C67" s="96"/>
      <c r="D67" s="102">
        <f t="shared" ref="D67:D130" si="15">D66+1</f>
        <v>67</v>
      </c>
      <c r="E67" s="158" t="s">
        <v>106</v>
      </c>
      <c r="F67" s="108">
        <f>D66</f>
        <v>66</v>
      </c>
      <c r="G67" s="105" t="s">
        <v>44</v>
      </c>
      <c r="H67" s="105"/>
      <c r="I67" s="104"/>
      <c r="J67" s="104"/>
      <c r="K67" s="160">
        <f>K66+K65</f>
        <v>4</v>
      </c>
      <c r="L67" s="118" t="s">
        <v>81</v>
      </c>
      <c r="M67" s="161">
        <f>K67</f>
        <v>4</v>
      </c>
      <c r="N67" s="104" t="s">
        <v>81</v>
      </c>
      <c r="O67" s="120">
        <v>0.5</v>
      </c>
      <c r="P67" s="104"/>
      <c r="Q67" s="150">
        <f t="shared" si="3"/>
        <v>2</v>
      </c>
      <c r="R67" s="148">
        <v>1</v>
      </c>
      <c r="S67" s="150">
        <f t="shared" si="4"/>
        <v>3</v>
      </c>
      <c r="T67" s="154" t="s">
        <v>48</v>
      </c>
    </row>
    <row r="68" spans="2:20" ht="20.25" customHeight="1">
      <c r="B68" s="111"/>
      <c r="C68" s="96">
        <f>D68</f>
        <v>68</v>
      </c>
      <c r="D68" s="102">
        <f t="shared" si="15"/>
        <v>68</v>
      </c>
      <c r="E68" s="113" t="s">
        <v>107</v>
      </c>
      <c r="F68" s="108">
        <f>D64</f>
        <v>64</v>
      </c>
      <c r="G68" s="105"/>
      <c r="H68" s="105"/>
      <c r="I68" s="104"/>
      <c r="J68" s="104"/>
      <c r="K68" s="118"/>
      <c r="L68" s="118"/>
      <c r="M68" s="119"/>
      <c r="N68" s="104"/>
      <c r="O68" s="120"/>
      <c r="P68" s="104"/>
      <c r="Q68" s="150"/>
      <c r="R68" s="148"/>
      <c r="S68" s="150"/>
      <c r="T68" s="149"/>
    </row>
    <row r="69" spans="2:20" ht="20.25" customHeight="1">
      <c r="C69" s="96"/>
      <c r="D69" s="102">
        <f t="shared" si="15"/>
        <v>69</v>
      </c>
      <c r="E69" s="159" t="s">
        <v>102</v>
      </c>
      <c r="F69" s="108">
        <f>D68</f>
        <v>68</v>
      </c>
      <c r="G69" s="105" t="s">
        <v>52</v>
      </c>
      <c r="H69" s="105"/>
      <c r="I69" s="120" t="str">
        <f>I65</f>
        <v>26" nb</v>
      </c>
      <c r="J69" s="104"/>
      <c r="K69" s="120">
        <f>K65</f>
        <v>2</v>
      </c>
      <c r="L69" s="118" t="s">
        <v>81</v>
      </c>
      <c r="M69" s="161">
        <f>K69</f>
        <v>2</v>
      </c>
      <c r="N69" s="104" t="s">
        <v>81</v>
      </c>
      <c r="O69" s="120">
        <v>0</v>
      </c>
      <c r="P69" s="104"/>
      <c r="Q69" s="150">
        <f t="shared" si="3"/>
        <v>0</v>
      </c>
      <c r="R69" s="148">
        <v>0</v>
      </c>
      <c r="S69" s="150">
        <f t="shared" si="4"/>
        <v>0</v>
      </c>
      <c r="T69" s="154" t="s">
        <v>48</v>
      </c>
    </row>
    <row r="70" spans="2:20" ht="20.25" customHeight="1">
      <c r="C70" s="96"/>
      <c r="D70" s="102">
        <f t="shared" si="15"/>
        <v>70</v>
      </c>
      <c r="E70" s="159" t="s">
        <v>104</v>
      </c>
      <c r="F70" s="108">
        <f>D69</f>
        <v>69</v>
      </c>
      <c r="G70" s="105" t="s">
        <v>52</v>
      </c>
      <c r="H70" s="105"/>
      <c r="I70" s="120" t="str">
        <f>I66</f>
        <v>2"nb</v>
      </c>
      <c r="J70" s="104"/>
      <c r="K70" s="120">
        <f>K66</f>
        <v>2</v>
      </c>
      <c r="L70" s="118" t="s">
        <v>81</v>
      </c>
      <c r="M70" s="161">
        <f>K70</f>
        <v>2</v>
      </c>
      <c r="N70" s="104" t="s">
        <v>81</v>
      </c>
      <c r="O70" s="120">
        <v>0</v>
      </c>
      <c r="P70" s="104"/>
      <c r="Q70" s="150">
        <f t="shared" si="3"/>
        <v>0</v>
      </c>
      <c r="R70" s="148">
        <v>0</v>
      </c>
      <c r="S70" s="150">
        <f t="shared" si="4"/>
        <v>0</v>
      </c>
      <c r="T70" s="154" t="s">
        <v>48</v>
      </c>
    </row>
    <row r="71" spans="2:20" ht="20.25" customHeight="1">
      <c r="C71" s="96"/>
      <c r="D71" s="102">
        <f t="shared" si="15"/>
        <v>71</v>
      </c>
      <c r="E71" s="159" t="s">
        <v>106</v>
      </c>
      <c r="F71" s="108">
        <f>D70</f>
        <v>70</v>
      </c>
      <c r="G71" s="105" t="s">
        <v>52</v>
      </c>
      <c r="H71" s="105"/>
      <c r="I71" s="104"/>
      <c r="J71" s="104"/>
      <c r="K71" s="120">
        <f>K70+K69</f>
        <v>4</v>
      </c>
      <c r="L71" s="118" t="s">
        <v>81</v>
      </c>
      <c r="M71" s="161">
        <f>K71</f>
        <v>4</v>
      </c>
      <c r="N71" s="104" t="s">
        <v>81</v>
      </c>
      <c r="O71" s="120">
        <v>0</v>
      </c>
      <c r="P71" s="104"/>
      <c r="Q71" s="150">
        <f t="shared" si="3"/>
        <v>0</v>
      </c>
      <c r="R71" s="148">
        <v>0</v>
      </c>
      <c r="S71" s="150">
        <f t="shared" si="4"/>
        <v>0</v>
      </c>
      <c r="T71" s="154" t="s">
        <v>48</v>
      </c>
    </row>
    <row r="72" spans="2:20" ht="20.25" customHeight="1">
      <c r="B72" s="111"/>
      <c r="C72" s="96">
        <f>D72</f>
        <v>72</v>
      </c>
      <c r="D72" s="102">
        <f t="shared" si="15"/>
        <v>72</v>
      </c>
      <c r="E72" s="113" t="s">
        <v>108</v>
      </c>
      <c r="F72" s="108">
        <f>D68</f>
        <v>68</v>
      </c>
      <c r="G72" s="105"/>
      <c r="H72" s="105"/>
      <c r="I72" s="104"/>
      <c r="J72" s="104"/>
      <c r="K72" s="118"/>
      <c r="L72" s="118"/>
      <c r="M72" s="119"/>
      <c r="N72" s="104"/>
      <c r="O72" s="120"/>
      <c r="P72" s="104"/>
      <c r="Q72" s="150"/>
      <c r="R72" s="148"/>
      <c r="S72" s="150"/>
      <c r="T72" s="149"/>
    </row>
    <row r="73" spans="2:20" ht="20.25" customHeight="1">
      <c r="C73" s="96"/>
      <c r="D73" s="102">
        <f t="shared" si="15"/>
        <v>73</v>
      </c>
      <c r="E73" s="158" t="s">
        <v>102</v>
      </c>
      <c r="F73" s="108">
        <f>D72</f>
        <v>72</v>
      </c>
      <c r="G73" s="105" t="s">
        <v>52</v>
      </c>
      <c r="H73" s="105"/>
      <c r="I73" s="120" t="str">
        <f>I65</f>
        <v>26" nb</v>
      </c>
      <c r="J73" s="104"/>
      <c r="K73" s="118">
        <f>K65</f>
        <v>2</v>
      </c>
      <c r="L73" s="118" t="s">
        <v>81</v>
      </c>
      <c r="M73" s="161">
        <v>2</v>
      </c>
      <c r="N73" s="104" t="s">
        <v>81</v>
      </c>
      <c r="O73" s="120">
        <v>4</v>
      </c>
      <c r="P73" s="104"/>
      <c r="Q73" s="150">
        <f t="shared" si="3"/>
        <v>8</v>
      </c>
      <c r="R73" s="148">
        <v>0</v>
      </c>
      <c r="S73" s="150">
        <f t="shared" si="4"/>
        <v>8</v>
      </c>
      <c r="T73" s="154" t="s">
        <v>48</v>
      </c>
    </row>
    <row r="74" spans="2:20" ht="20.25" customHeight="1">
      <c r="C74" s="96"/>
      <c r="D74" s="102">
        <f t="shared" si="15"/>
        <v>74</v>
      </c>
      <c r="E74" s="158" t="s">
        <v>104</v>
      </c>
      <c r="F74" s="108">
        <f>D73</f>
        <v>73</v>
      </c>
      <c r="G74" s="105" t="s">
        <v>52</v>
      </c>
      <c r="H74" s="105"/>
      <c r="I74" s="120" t="str">
        <f>I66</f>
        <v>2"nb</v>
      </c>
      <c r="J74" s="104"/>
      <c r="K74" s="118">
        <f>K66</f>
        <v>2</v>
      </c>
      <c r="L74" s="118" t="s">
        <v>81</v>
      </c>
      <c r="M74" s="161">
        <v>2</v>
      </c>
      <c r="N74" s="104" t="s">
        <v>81</v>
      </c>
      <c r="O74" s="120">
        <v>0</v>
      </c>
      <c r="P74" s="104"/>
      <c r="Q74" s="150">
        <f t="shared" si="3"/>
        <v>0</v>
      </c>
      <c r="R74" s="148">
        <v>0</v>
      </c>
      <c r="S74" s="150">
        <f t="shared" si="4"/>
        <v>0</v>
      </c>
      <c r="T74" s="154" t="s">
        <v>48</v>
      </c>
    </row>
    <row r="75" spans="2:20" ht="20.25" customHeight="1">
      <c r="C75" s="96"/>
      <c r="D75" s="102">
        <f t="shared" si="15"/>
        <v>75</v>
      </c>
      <c r="E75" s="158" t="s">
        <v>109</v>
      </c>
      <c r="F75" s="108">
        <f>D74</f>
        <v>74</v>
      </c>
      <c r="G75" s="105" t="s">
        <v>52</v>
      </c>
      <c r="H75" s="105"/>
      <c r="I75" s="104"/>
      <c r="J75" s="104"/>
      <c r="K75" s="141">
        <f>K74+K73</f>
        <v>4</v>
      </c>
      <c r="L75" s="118" t="s">
        <v>81</v>
      </c>
      <c r="M75" s="161">
        <v>4</v>
      </c>
      <c r="N75" s="104" t="s">
        <v>81</v>
      </c>
      <c r="O75" s="120">
        <v>0</v>
      </c>
      <c r="P75" s="104"/>
      <c r="Q75" s="150">
        <f t="shared" si="3"/>
        <v>0</v>
      </c>
      <c r="R75" s="148">
        <v>0</v>
      </c>
      <c r="S75" s="150">
        <f t="shared" si="4"/>
        <v>0</v>
      </c>
      <c r="T75" s="154" t="s">
        <v>48</v>
      </c>
    </row>
    <row r="76" spans="2:20" ht="20.25" customHeight="1">
      <c r="B76" s="111"/>
      <c r="C76" s="96">
        <f>D76</f>
        <v>76</v>
      </c>
      <c r="D76" s="102">
        <f t="shared" si="15"/>
        <v>76</v>
      </c>
      <c r="E76" s="113" t="s">
        <v>110</v>
      </c>
      <c r="F76" s="108">
        <f>D72</f>
        <v>72</v>
      </c>
      <c r="G76" s="105"/>
      <c r="H76" s="105"/>
      <c r="I76" s="104"/>
      <c r="J76" s="104"/>
      <c r="K76" s="118"/>
      <c r="L76" s="118"/>
      <c r="M76" s="119"/>
      <c r="N76" s="104"/>
      <c r="O76" s="120"/>
      <c r="P76" s="104"/>
      <c r="Q76" s="150"/>
      <c r="R76" s="148"/>
      <c r="S76" s="150"/>
      <c r="T76" s="149"/>
    </row>
    <row r="77" spans="2:20" ht="20.25" customHeight="1">
      <c r="C77" s="96"/>
      <c r="D77" s="102">
        <f t="shared" si="15"/>
        <v>77</v>
      </c>
      <c r="E77" s="159" t="s">
        <v>102</v>
      </c>
      <c r="F77" s="108">
        <f>D76</f>
        <v>76</v>
      </c>
      <c r="G77" s="105" t="s">
        <v>626</v>
      </c>
      <c r="H77" s="105"/>
      <c r="I77" s="120" t="str">
        <f>I65</f>
        <v>26" nb</v>
      </c>
      <c r="J77" s="104"/>
      <c r="K77" s="118">
        <v>2</v>
      </c>
      <c r="L77" s="118" t="s">
        <v>50</v>
      </c>
      <c r="M77" s="161">
        <v>2</v>
      </c>
      <c r="N77" s="104" t="s">
        <v>50</v>
      </c>
      <c r="O77" s="120">
        <v>4</v>
      </c>
      <c r="P77" s="104" t="s">
        <v>112</v>
      </c>
      <c r="Q77" s="150">
        <f t="shared" si="3"/>
        <v>8</v>
      </c>
      <c r="R77" s="148">
        <v>1</v>
      </c>
      <c r="S77" s="150">
        <f t="shared" si="4"/>
        <v>9</v>
      </c>
      <c r="T77" s="154" t="s">
        <v>48</v>
      </c>
    </row>
    <row r="78" spans="2:20" ht="20.25" customHeight="1">
      <c r="C78" s="96"/>
      <c r="D78" s="102">
        <f t="shared" si="15"/>
        <v>78</v>
      </c>
      <c r="E78" s="159" t="s">
        <v>104</v>
      </c>
      <c r="F78" s="108">
        <f>D77</f>
        <v>77</v>
      </c>
      <c r="G78" s="105" t="s">
        <v>626</v>
      </c>
      <c r="H78" s="105"/>
      <c r="I78" s="120" t="str">
        <f>I66</f>
        <v>2"nb</v>
      </c>
      <c r="J78" s="104"/>
      <c r="K78" s="118">
        <v>2</v>
      </c>
      <c r="L78" s="118" t="s">
        <v>50</v>
      </c>
      <c r="M78" s="161">
        <v>2</v>
      </c>
      <c r="N78" s="104" t="s">
        <v>50</v>
      </c>
      <c r="O78" s="120">
        <v>0</v>
      </c>
      <c r="P78" s="104" t="s">
        <v>112</v>
      </c>
      <c r="Q78" s="150">
        <f t="shared" si="3"/>
        <v>0</v>
      </c>
      <c r="R78" s="148">
        <v>1</v>
      </c>
      <c r="S78" s="150">
        <f t="shared" si="4"/>
        <v>1</v>
      </c>
      <c r="T78" s="154" t="s">
        <v>48</v>
      </c>
    </row>
    <row r="79" spans="2:20" ht="20.25" customHeight="1">
      <c r="C79" s="96"/>
      <c r="D79" s="102">
        <f t="shared" si="15"/>
        <v>79</v>
      </c>
      <c r="E79" s="159" t="s">
        <v>113</v>
      </c>
      <c r="F79" s="108">
        <f>D78</f>
        <v>78</v>
      </c>
      <c r="G79" s="105" t="s">
        <v>626</v>
      </c>
      <c r="H79" s="105"/>
      <c r="I79" s="104"/>
      <c r="J79" s="104"/>
      <c r="K79" s="118">
        <v>4</v>
      </c>
      <c r="L79" s="118" t="s">
        <v>50</v>
      </c>
      <c r="M79" s="161">
        <v>4</v>
      </c>
      <c r="N79" s="104" t="s">
        <v>50</v>
      </c>
      <c r="O79" s="120">
        <v>0.25</v>
      </c>
      <c r="P79" s="104" t="s">
        <v>112</v>
      </c>
      <c r="Q79" s="150">
        <f t="shared" si="3"/>
        <v>1</v>
      </c>
      <c r="R79" s="148">
        <v>1</v>
      </c>
      <c r="S79" s="150">
        <f t="shared" si="4"/>
        <v>2</v>
      </c>
      <c r="T79" s="154" t="s">
        <v>48</v>
      </c>
    </row>
    <row r="80" spans="2:20" ht="20.25" customHeight="1">
      <c r="B80" s="111"/>
      <c r="C80" s="96">
        <f>D80</f>
        <v>80</v>
      </c>
      <c r="D80" s="102">
        <f t="shared" si="15"/>
        <v>80</v>
      </c>
      <c r="E80" s="113" t="s">
        <v>114</v>
      </c>
      <c r="F80" s="108">
        <f>D76</f>
        <v>76</v>
      </c>
      <c r="G80" s="105"/>
      <c r="H80" s="105"/>
      <c r="I80" s="104"/>
      <c r="J80" s="104"/>
      <c r="K80" s="118"/>
      <c r="L80" s="118"/>
      <c r="M80" s="119"/>
      <c r="N80" s="104"/>
      <c r="O80" s="120"/>
      <c r="P80" s="104"/>
      <c r="Q80" s="150"/>
      <c r="R80" s="148"/>
      <c r="S80" s="150"/>
      <c r="T80" s="149"/>
    </row>
    <row r="81" spans="2:20" ht="20.25" customHeight="1">
      <c r="C81" s="96"/>
      <c r="D81" s="102">
        <f t="shared" si="15"/>
        <v>81</v>
      </c>
      <c r="E81" s="158" t="s">
        <v>102</v>
      </c>
      <c r="F81" s="108">
        <f>D80</f>
        <v>80</v>
      </c>
      <c r="G81" s="105" t="s">
        <v>115</v>
      </c>
      <c r="H81" s="105"/>
      <c r="I81" s="138" t="s">
        <v>116</v>
      </c>
      <c r="J81" s="138" t="s">
        <v>117</v>
      </c>
      <c r="K81" s="118">
        <v>2</v>
      </c>
      <c r="L81" s="118" t="s">
        <v>50</v>
      </c>
      <c r="M81" s="128">
        <f>LEFT(J81,SEARCH(" ",J81,1)-1)*K81*0.001</f>
        <v>6.1080000000000005</v>
      </c>
      <c r="N81" s="104" t="s">
        <v>50</v>
      </c>
      <c r="O81" s="162">
        <f>6.12</f>
        <v>6.12</v>
      </c>
      <c r="P81" s="104" t="s">
        <v>112</v>
      </c>
      <c r="Q81" s="150">
        <f>M81*O81</f>
        <v>37.380960000000002</v>
      </c>
      <c r="R81" s="148">
        <v>1</v>
      </c>
      <c r="S81" s="150">
        <f t="shared" si="4"/>
        <v>38.380960000000002</v>
      </c>
      <c r="T81" s="154" t="s">
        <v>48</v>
      </c>
    </row>
    <row r="82" spans="2:20" ht="20.25" customHeight="1">
      <c r="C82" s="96"/>
      <c r="D82" s="102">
        <f t="shared" si="15"/>
        <v>82</v>
      </c>
      <c r="E82" s="158" t="s">
        <v>104</v>
      </c>
      <c r="F82" s="108">
        <f>D81</f>
        <v>81</v>
      </c>
      <c r="G82" s="105" t="s">
        <v>115</v>
      </c>
      <c r="H82" s="105"/>
      <c r="I82" s="160" t="str">
        <f>I70</f>
        <v>2"nb</v>
      </c>
      <c r="J82" s="104"/>
      <c r="K82" s="118">
        <v>2</v>
      </c>
      <c r="L82" s="118" t="s">
        <v>50</v>
      </c>
      <c r="M82" s="161">
        <v>0</v>
      </c>
      <c r="N82" s="104" t="s">
        <v>50</v>
      </c>
      <c r="O82" s="162"/>
      <c r="P82" s="104" t="s">
        <v>112</v>
      </c>
      <c r="Q82" s="150">
        <f t="shared" si="3"/>
        <v>0</v>
      </c>
      <c r="R82" s="148"/>
      <c r="S82" s="150">
        <f t="shared" si="4"/>
        <v>0</v>
      </c>
      <c r="T82" s="154" t="s">
        <v>48</v>
      </c>
    </row>
    <row r="83" spans="2:20" ht="20.25" customHeight="1">
      <c r="C83" s="96"/>
      <c r="D83" s="102">
        <f t="shared" si="15"/>
        <v>83</v>
      </c>
      <c r="E83" s="158" t="s">
        <v>109</v>
      </c>
      <c r="F83" s="108">
        <f>D82</f>
        <v>82</v>
      </c>
      <c r="G83" s="105" t="s">
        <v>115</v>
      </c>
      <c r="H83" s="105"/>
      <c r="I83" s="104"/>
      <c r="J83" s="104"/>
      <c r="K83" s="118">
        <v>4</v>
      </c>
      <c r="L83" s="118" t="s">
        <v>50</v>
      </c>
      <c r="M83" s="161">
        <v>4</v>
      </c>
      <c r="N83" s="104" t="s">
        <v>50</v>
      </c>
      <c r="O83" s="120">
        <v>0.25</v>
      </c>
      <c r="P83" s="104" t="s">
        <v>112</v>
      </c>
      <c r="Q83" s="150">
        <f t="shared" si="3"/>
        <v>1</v>
      </c>
      <c r="R83" s="148">
        <v>1</v>
      </c>
      <c r="S83" s="150">
        <f t="shared" si="4"/>
        <v>2</v>
      </c>
      <c r="T83" s="154" t="s">
        <v>48</v>
      </c>
    </row>
    <row r="84" spans="2:20" ht="20.25" customHeight="1">
      <c r="B84" s="111"/>
      <c r="C84" s="96">
        <f>D84</f>
        <v>84</v>
      </c>
      <c r="D84" s="102">
        <f t="shared" si="15"/>
        <v>84</v>
      </c>
      <c r="E84" s="113" t="s">
        <v>119</v>
      </c>
      <c r="F84" s="108">
        <f>D80</f>
        <v>80</v>
      </c>
      <c r="G84" s="105"/>
      <c r="H84" s="105"/>
      <c r="I84" s="104"/>
      <c r="J84" s="104"/>
      <c r="K84" s="118"/>
      <c r="L84" s="118"/>
      <c r="M84" s="119"/>
      <c r="N84" s="104"/>
      <c r="O84" s="120"/>
      <c r="P84" s="104"/>
      <c r="Q84" s="150"/>
      <c r="R84" s="148"/>
      <c r="S84" s="150"/>
      <c r="T84" s="149"/>
    </row>
    <row r="85" spans="2:20" ht="20.25" customHeight="1">
      <c r="C85" s="96"/>
      <c r="D85" s="102">
        <f t="shared" si="15"/>
        <v>85</v>
      </c>
      <c r="E85" s="159" t="s">
        <v>102</v>
      </c>
      <c r="F85" s="108">
        <f>D84</f>
        <v>84</v>
      </c>
      <c r="G85" s="105" t="s">
        <v>44</v>
      </c>
      <c r="H85" s="105"/>
      <c r="I85" s="120" t="str">
        <f>I73</f>
        <v>26" nb</v>
      </c>
      <c r="J85" s="104"/>
      <c r="K85" s="118">
        <v>2</v>
      </c>
      <c r="L85" s="118" t="s">
        <v>50</v>
      </c>
      <c r="M85" s="119">
        <v>1</v>
      </c>
      <c r="N85" s="104" t="s">
        <v>50</v>
      </c>
      <c r="O85" s="162">
        <v>4</v>
      </c>
      <c r="P85" s="104" t="s">
        <v>112</v>
      </c>
      <c r="Q85" s="150">
        <f t="shared" si="3"/>
        <v>4</v>
      </c>
      <c r="R85" s="148">
        <v>1</v>
      </c>
      <c r="S85" s="150">
        <f t="shared" si="4"/>
        <v>5</v>
      </c>
      <c r="T85" s="154" t="s">
        <v>48</v>
      </c>
    </row>
    <row r="86" spans="2:20" ht="20.25" customHeight="1">
      <c r="C86" s="96"/>
      <c r="D86" s="102">
        <f t="shared" si="15"/>
        <v>86</v>
      </c>
      <c r="E86" s="159" t="s">
        <v>104</v>
      </c>
      <c r="F86" s="108">
        <f>D85</f>
        <v>85</v>
      </c>
      <c r="G86" s="105" t="s">
        <v>44</v>
      </c>
      <c r="H86" s="105"/>
      <c r="I86" s="120" t="str">
        <f>I74</f>
        <v>2"nb</v>
      </c>
      <c r="J86" s="104"/>
      <c r="K86" s="118">
        <v>2</v>
      </c>
      <c r="L86" s="118" t="s">
        <v>50</v>
      </c>
      <c r="M86" s="119">
        <v>1</v>
      </c>
      <c r="N86" s="104" t="s">
        <v>50</v>
      </c>
      <c r="O86" s="162">
        <v>1</v>
      </c>
      <c r="P86" s="104" t="s">
        <v>112</v>
      </c>
      <c r="Q86" s="150">
        <f t="shared" si="3"/>
        <v>1</v>
      </c>
      <c r="R86" s="148">
        <v>1</v>
      </c>
      <c r="S86" s="150">
        <f t="shared" si="4"/>
        <v>2</v>
      </c>
      <c r="T86" s="154" t="s">
        <v>48</v>
      </c>
    </row>
    <row r="87" spans="2:20" ht="20.25" customHeight="1">
      <c r="C87" s="96"/>
      <c r="D87" s="102">
        <f t="shared" si="15"/>
        <v>87</v>
      </c>
      <c r="E87" s="159" t="s">
        <v>109</v>
      </c>
      <c r="F87" s="108">
        <f>D86</f>
        <v>86</v>
      </c>
      <c r="G87" s="105" t="s">
        <v>44</v>
      </c>
      <c r="H87" s="105"/>
      <c r="I87" s="104"/>
      <c r="J87" s="104"/>
      <c r="K87" s="118">
        <v>4</v>
      </c>
      <c r="L87" s="118" t="s">
        <v>50</v>
      </c>
      <c r="M87" s="119">
        <v>1</v>
      </c>
      <c r="N87" s="104" t="s">
        <v>50</v>
      </c>
      <c r="O87" s="120">
        <v>1</v>
      </c>
      <c r="P87" s="104" t="s">
        <v>112</v>
      </c>
      <c r="Q87" s="150">
        <f t="shared" si="3"/>
        <v>1</v>
      </c>
      <c r="R87" s="148">
        <v>1</v>
      </c>
      <c r="S87" s="150">
        <f t="shared" si="4"/>
        <v>2</v>
      </c>
      <c r="T87" s="154" t="s">
        <v>48</v>
      </c>
    </row>
    <row r="88" spans="2:20" ht="20.25" customHeight="1">
      <c r="B88" s="111"/>
      <c r="C88" s="96">
        <f>D88</f>
        <v>88</v>
      </c>
      <c r="D88" s="102">
        <f t="shared" si="15"/>
        <v>88</v>
      </c>
      <c r="E88" s="113" t="s">
        <v>743</v>
      </c>
      <c r="F88" s="108">
        <f>D84</f>
        <v>84</v>
      </c>
      <c r="G88" s="105"/>
      <c r="H88" s="105"/>
      <c r="I88" s="104"/>
      <c r="J88" s="104"/>
      <c r="K88" s="118"/>
      <c r="L88" s="118"/>
      <c r="M88" s="119"/>
      <c r="N88" s="104"/>
      <c r="O88" s="120"/>
      <c r="P88" s="104"/>
      <c r="Q88" s="150"/>
      <c r="R88" s="148"/>
      <c r="S88" s="150"/>
      <c r="T88" s="149"/>
    </row>
    <row r="89" spans="2:20" ht="20.25" customHeight="1">
      <c r="C89" s="96"/>
      <c r="D89" s="102">
        <f t="shared" si="15"/>
        <v>89</v>
      </c>
      <c r="E89" s="158" t="s">
        <v>102</v>
      </c>
      <c r="F89" s="108">
        <f>D88</f>
        <v>88</v>
      </c>
      <c r="G89" s="105" t="s">
        <v>121</v>
      </c>
      <c r="H89" s="105"/>
      <c r="I89" s="120" t="str">
        <f>I77</f>
        <v>26" nb</v>
      </c>
      <c r="J89" s="104"/>
      <c r="K89" s="118">
        <v>2</v>
      </c>
      <c r="L89" s="118" t="s">
        <v>50</v>
      </c>
      <c r="M89" s="119">
        <v>0</v>
      </c>
      <c r="N89" s="104" t="s">
        <v>50</v>
      </c>
      <c r="O89" s="162"/>
      <c r="P89" s="104" t="s">
        <v>112</v>
      </c>
      <c r="Q89" s="150">
        <f t="shared" si="3"/>
        <v>0</v>
      </c>
      <c r="R89" s="148">
        <v>1</v>
      </c>
      <c r="S89" s="150">
        <f t="shared" si="4"/>
        <v>1</v>
      </c>
      <c r="T89" s="154" t="s">
        <v>48</v>
      </c>
    </row>
    <row r="90" spans="2:20" ht="20.25" customHeight="1">
      <c r="C90" s="96"/>
      <c r="D90" s="102">
        <f t="shared" si="15"/>
        <v>90</v>
      </c>
      <c r="E90" s="158" t="s">
        <v>104</v>
      </c>
      <c r="F90" s="108">
        <f>D89</f>
        <v>89</v>
      </c>
      <c r="G90" s="105" t="s">
        <v>121</v>
      </c>
      <c r="H90" s="105"/>
      <c r="I90" s="120" t="str">
        <f>I78</f>
        <v>2"nb</v>
      </c>
      <c r="J90" s="104"/>
      <c r="K90" s="118">
        <v>2</v>
      </c>
      <c r="L90" s="118" t="s">
        <v>50</v>
      </c>
      <c r="M90" s="119">
        <v>0</v>
      </c>
      <c r="N90" s="104" t="s">
        <v>50</v>
      </c>
      <c r="O90" s="162"/>
      <c r="P90" s="104" t="s">
        <v>112</v>
      </c>
      <c r="Q90" s="150">
        <f t="shared" si="3"/>
        <v>0</v>
      </c>
      <c r="R90" s="148">
        <v>1</v>
      </c>
      <c r="S90" s="150">
        <f t="shared" si="4"/>
        <v>1</v>
      </c>
      <c r="T90" s="154" t="s">
        <v>48</v>
      </c>
    </row>
    <row r="91" spans="2:20" ht="20.25" customHeight="1">
      <c r="C91" s="96"/>
      <c r="D91" s="102">
        <f t="shared" si="15"/>
        <v>91</v>
      </c>
      <c r="E91" s="158" t="s">
        <v>109</v>
      </c>
      <c r="F91" s="108">
        <f>D90</f>
        <v>90</v>
      </c>
      <c r="G91" s="105" t="s">
        <v>121</v>
      </c>
      <c r="H91" s="105"/>
      <c r="I91" s="104"/>
      <c r="J91" s="104"/>
      <c r="K91" s="118">
        <v>4</v>
      </c>
      <c r="L91" s="118" t="s">
        <v>50</v>
      </c>
      <c r="M91" s="119">
        <v>0</v>
      </c>
      <c r="N91" s="104" t="s">
        <v>50</v>
      </c>
      <c r="O91" s="120"/>
      <c r="P91" s="104" t="s">
        <v>112</v>
      </c>
      <c r="Q91" s="150">
        <f t="shared" si="3"/>
        <v>0</v>
      </c>
      <c r="R91" s="148">
        <v>1</v>
      </c>
      <c r="S91" s="150">
        <f t="shared" si="4"/>
        <v>1</v>
      </c>
      <c r="T91" s="154" t="s">
        <v>48</v>
      </c>
    </row>
    <row r="92" spans="2:20" ht="20.25" customHeight="1">
      <c r="B92" s="111"/>
      <c r="C92" s="96">
        <f>D92</f>
        <v>92</v>
      </c>
      <c r="D92" s="102">
        <f t="shared" si="15"/>
        <v>92</v>
      </c>
      <c r="E92" s="113" t="s">
        <v>744</v>
      </c>
      <c r="F92" s="108">
        <f>D88</f>
        <v>88</v>
      </c>
      <c r="G92" s="105"/>
      <c r="H92" s="105"/>
      <c r="I92" s="104"/>
      <c r="J92" s="104"/>
      <c r="K92" s="118"/>
      <c r="L92" s="118"/>
      <c r="M92" s="119"/>
      <c r="N92" s="104"/>
      <c r="O92" s="120"/>
      <c r="P92" s="104"/>
      <c r="Q92" s="150"/>
      <c r="R92" s="148"/>
      <c r="S92" s="150"/>
      <c r="T92" s="149"/>
    </row>
    <row r="93" spans="2:20" ht="20.25" customHeight="1">
      <c r="C93" s="96"/>
      <c r="D93" s="102">
        <f t="shared" si="15"/>
        <v>93</v>
      </c>
      <c r="E93" s="159" t="s">
        <v>102</v>
      </c>
      <c r="F93" s="108">
        <f t="shared" ref="F93:F156" si="16">D92</f>
        <v>92</v>
      </c>
      <c r="G93" s="105" t="s">
        <v>121</v>
      </c>
      <c r="H93" s="105"/>
      <c r="I93" s="132" t="s">
        <v>123</v>
      </c>
      <c r="J93" s="138" t="s">
        <v>117</v>
      </c>
      <c r="K93" s="118">
        <v>2</v>
      </c>
      <c r="L93" s="118" t="s">
        <v>50</v>
      </c>
      <c r="M93" s="128">
        <f>LEFT(J93,SEARCH(" ",J93,1)-1)*K93*0.001</f>
        <v>6.1080000000000005</v>
      </c>
      <c r="N93" s="104" t="s">
        <v>50</v>
      </c>
      <c r="O93" s="162">
        <v>1</v>
      </c>
      <c r="P93" s="104" t="s">
        <v>112</v>
      </c>
      <c r="Q93" s="150">
        <f t="shared" ref="Q93:Q155" si="17">M93*O93</f>
        <v>6.1080000000000005</v>
      </c>
      <c r="R93" s="148">
        <v>1</v>
      </c>
      <c r="S93" s="150">
        <f t="shared" ref="S93:S155" si="18">Q93+R93</f>
        <v>7.1080000000000005</v>
      </c>
      <c r="T93" s="154" t="s">
        <v>48</v>
      </c>
    </row>
    <row r="94" spans="2:20" ht="20.25" customHeight="1">
      <c r="C94" s="96"/>
      <c r="D94" s="102">
        <f t="shared" si="15"/>
        <v>94</v>
      </c>
      <c r="E94" s="159" t="s">
        <v>104</v>
      </c>
      <c r="F94" s="108">
        <f t="shared" si="16"/>
        <v>93</v>
      </c>
      <c r="G94" s="105" t="s">
        <v>121</v>
      </c>
      <c r="H94" s="105"/>
      <c r="I94" s="104">
        <v>18</v>
      </c>
      <c r="J94" s="112" t="s">
        <v>745</v>
      </c>
      <c r="K94" s="118">
        <v>2</v>
      </c>
      <c r="L94" s="118" t="s">
        <v>50</v>
      </c>
      <c r="M94" s="128">
        <f>LEFT(J94,SEARCH(" ",J94,1)-1)*K94*0.001</f>
        <v>0.54400000000000004</v>
      </c>
      <c r="N94" s="104" t="s">
        <v>50</v>
      </c>
      <c r="O94" s="162">
        <v>0.5</v>
      </c>
      <c r="P94" s="104" t="s">
        <v>112</v>
      </c>
      <c r="Q94" s="150">
        <f t="shared" si="17"/>
        <v>0.27200000000000002</v>
      </c>
      <c r="R94" s="148">
        <v>1</v>
      </c>
      <c r="S94" s="150">
        <f t="shared" si="18"/>
        <v>1.272</v>
      </c>
      <c r="T94" s="154" t="s">
        <v>48</v>
      </c>
    </row>
    <row r="95" spans="2:20" ht="20.25" customHeight="1">
      <c r="C95" s="96"/>
      <c r="D95" s="102">
        <f t="shared" si="15"/>
        <v>95</v>
      </c>
      <c r="E95" s="159" t="s">
        <v>109</v>
      </c>
      <c r="F95" s="108">
        <f t="shared" si="16"/>
        <v>94</v>
      </c>
      <c r="G95" s="105" t="s">
        <v>121</v>
      </c>
      <c r="H95" s="105"/>
      <c r="I95" s="104"/>
      <c r="J95" s="104"/>
      <c r="K95" s="118">
        <v>4</v>
      </c>
      <c r="L95" s="118" t="s">
        <v>50</v>
      </c>
      <c r="M95" s="119">
        <v>1</v>
      </c>
      <c r="N95" s="104" t="s">
        <v>50</v>
      </c>
      <c r="O95" s="120">
        <v>1</v>
      </c>
      <c r="P95" s="104" t="s">
        <v>112</v>
      </c>
      <c r="Q95" s="150">
        <f t="shared" si="17"/>
        <v>1</v>
      </c>
      <c r="R95" s="148">
        <v>1</v>
      </c>
      <c r="S95" s="150">
        <f t="shared" si="18"/>
        <v>2</v>
      </c>
      <c r="T95" s="154" t="s">
        <v>48</v>
      </c>
    </row>
    <row r="96" spans="2:20" ht="20.25" customHeight="1">
      <c r="B96" s="111"/>
      <c r="C96" s="96">
        <f>D96</f>
        <v>96</v>
      </c>
      <c r="D96" s="102">
        <f t="shared" si="15"/>
        <v>96</v>
      </c>
      <c r="E96" s="113" t="s">
        <v>124</v>
      </c>
      <c r="F96" s="108">
        <f>D92</f>
        <v>92</v>
      </c>
      <c r="G96" s="105"/>
      <c r="H96" s="105"/>
      <c r="I96" s="104"/>
      <c r="J96" s="104"/>
      <c r="K96" s="118"/>
      <c r="L96" s="118"/>
      <c r="M96" s="119"/>
      <c r="N96" s="104"/>
      <c r="O96" s="120"/>
      <c r="P96" s="104"/>
      <c r="Q96" s="150"/>
      <c r="R96" s="148"/>
      <c r="S96" s="150"/>
      <c r="T96" s="149"/>
    </row>
    <row r="97" spans="2:20" ht="20.25" customHeight="1">
      <c r="C97" s="96"/>
      <c r="D97" s="102">
        <f t="shared" si="15"/>
        <v>97</v>
      </c>
      <c r="E97" s="106" t="s">
        <v>125</v>
      </c>
      <c r="F97" s="108">
        <f t="shared" si="16"/>
        <v>96</v>
      </c>
      <c r="G97" s="105" t="s">
        <v>44</v>
      </c>
      <c r="H97" s="105"/>
      <c r="I97" s="138" t="s">
        <v>103</v>
      </c>
      <c r="J97" s="104"/>
      <c r="K97" s="160">
        <v>2</v>
      </c>
      <c r="L97" s="118" t="s">
        <v>81</v>
      </c>
      <c r="M97" s="161">
        <f>K97</f>
        <v>2</v>
      </c>
      <c r="N97" s="104" t="s">
        <v>81</v>
      </c>
      <c r="O97" s="120">
        <v>1</v>
      </c>
      <c r="P97" s="104"/>
      <c r="Q97" s="150">
        <f t="shared" ref="Q97:Q99" si="19">M97*O97</f>
        <v>2</v>
      </c>
      <c r="R97" s="148">
        <v>1</v>
      </c>
      <c r="S97" s="150">
        <f t="shared" ref="S97:S99" si="20">Q97+R97</f>
        <v>3</v>
      </c>
      <c r="T97" s="154" t="s">
        <v>48</v>
      </c>
    </row>
    <row r="98" spans="2:20" ht="20.25" customHeight="1">
      <c r="C98" s="96"/>
      <c r="D98" s="102">
        <f t="shared" si="15"/>
        <v>98</v>
      </c>
      <c r="E98" s="106" t="s">
        <v>104</v>
      </c>
      <c r="F98" s="108">
        <f t="shared" si="16"/>
        <v>97</v>
      </c>
      <c r="G98" s="105" t="s">
        <v>44</v>
      </c>
      <c r="H98" s="105"/>
      <c r="I98" s="138" t="s">
        <v>105</v>
      </c>
      <c r="J98" s="104"/>
      <c r="K98" s="160">
        <v>2</v>
      </c>
      <c r="L98" s="118" t="s">
        <v>81</v>
      </c>
      <c r="M98" s="161">
        <f>K98</f>
        <v>2</v>
      </c>
      <c r="N98" s="104" t="s">
        <v>81</v>
      </c>
      <c r="O98" s="120">
        <v>1</v>
      </c>
      <c r="P98" s="104"/>
      <c r="Q98" s="150">
        <f t="shared" si="19"/>
        <v>2</v>
      </c>
      <c r="R98" s="148">
        <v>1</v>
      </c>
      <c r="S98" s="150">
        <f t="shared" si="20"/>
        <v>3</v>
      </c>
      <c r="T98" s="154" t="s">
        <v>48</v>
      </c>
    </row>
    <row r="99" spans="2:20" ht="20.25" customHeight="1">
      <c r="C99" s="96"/>
      <c r="D99" s="102">
        <f t="shared" si="15"/>
        <v>99</v>
      </c>
      <c r="E99" s="106" t="s">
        <v>109</v>
      </c>
      <c r="F99" s="108">
        <f t="shared" si="16"/>
        <v>98</v>
      </c>
      <c r="G99" s="105" t="s">
        <v>44</v>
      </c>
      <c r="H99" s="105"/>
      <c r="I99" s="104"/>
      <c r="J99" s="104"/>
      <c r="K99" s="160">
        <f>K98+K97</f>
        <v>4</v>
      </c>
      <c r="L99" s="118" t="s">
        <v>81</v>
      </c>
      <c r="M99" s="161">
        <f>K99</f>
        <v>4</v>
      </c>
      <c r="N99" s="104" t="s">
        <v>81</v>
      </c>
      <c r="O99" s="120">
        <v>0.5</v>
      </c>
      <c r="P99" s="104"/>
      <c r="Q99" s="150">
        <f t="shared" si="19"/>
        <v>2</v>
      </c>
      <c r="R99" s="148">
        <v>1</v>
      </c>
      <c r="S99" s="150">
        <f t="shared" si="20"/>
        <v>3</v>
      </c>
      <c r="T99" s="154" t="s">
        <v>48</v>
      </c>
    </row>
    <row r="100" spans="2:20" ht="20.25" customHeight="1">
      <c r="B100" s="111"/>
      <c r="C100" s="96">
        <f>D100</f>
        <v>100</v>
      </c>
      <c r="D100" s="102">
        <f t="shared" si="15"/>
        <v>100</v>
      </c>
      <c r="E100" s="113" t="s">
        <v>126</v>
      </c>
      <c r="F100" s="112">
        <f>D96</f>
        <v>96</v>
      </c>
      <c r="G100" s="105"/>
      <c r="H100" s="105"/>
      <c r="I100" s="104"/>
      <c r="J100" s="104"/>
      <c r="K100" s="118"/>
      <c r="L100" s="118"/>
      <c r="M100" s="119"/>
      <c r="N100" s="104"/>
      <c r="O100" s="120"/>
      <c r="P100" s="104"/>
      <c r="Q100" s="150"/>
      <c r="R100" s="148"/>
      <c r="S100" s="150"/>
      <c r="T100" s="149"/>
    </row>
    <row r="101" spans="2:20" ht="20.25" customHeight="1">
      <c r="C101" s="96"/>
      <c r="D101" s="102">
        <f t="shared" si="15"/>
        <v>101</v>
      </c>
      <c r="E101" s="106" t="s">
        <v>125</v>
      </c>
      <c r="F101" s="108">
        <f t="shared" si="16"/>
        <v>100</v>
      </c>
      <c r="G101" s="105" t="s">
        <v>52</v>
      </c>
      <c r="H101" s="105"/>
      <c r="I101" s="120" t="str">
        <f>I97</f>
        <v>26" nb</v>
      </c>
      <c r="J101" s="104"/>
      <c r="K101" s="120">
        <f>K97</f>
        <v>2</v>
      </c>
      <c r="L101" s="118" t="s">
        <v>81</v>
      </c>
      <c r="M101" s="161">
        <f>K101</f>
        <v>2</v>
      </c>
      <c r="N101" s="104" t="s">
        <v>81</v>
      </c>
      <c r="O101" s="120">
        <v>0</v>
      </c>
      <c r="P101" s="104"/>
      <c r="Q101" s="150">
        <f t="shared" si="17"/>
        <v>0</v>
      </c>
      <c r="R101" s="148">
        <v>0</v>
      </c>
      <c r="S101" s="150">
        <f t="shared" si="18"/>
        <v>0</v>
      </c>
      <c r="T101" s="154" t="s">
        <v>48</v>
      </c>
    </row>
    <row r="102" spans="2:20" ht="20.25" customHeight="1">
      <c r="C102" s="96"/>
      <c r="D102" s="102">
        <f t="shared" si="15"/>
        <v>102</v>
      </c>
      <c r="E102" s="106" t="s">
        <v>104</v>
      </c>
      <c r="F102" s="108">
        <f t="shared" si="16"/>
        <v>101</v>
      </c>
      <c r="G102" s="105" t="s">
        <v>52</v>
      </c>
      <c r="H102" s="105"/>
      <c r="I102" s="120" t="str">
        <f>I98</f>
        <v>2"nb</v>
      </c>
      <c r="J102" s="104"/>
      <c r="K102" s="120">
        <f>K98</f>
        <v>2</v>
      </c>
      <c r="L102" s="118" t="s">
        <v>81</v>
      </c>
      <c r="M102" s="161">
        <f>K102</f>
        <v>2</v>
      </c>
      <c r="N102" s="104" t="s">
        <v>81</v>
      </c>
      <c r="O102" s="120">
        <v>0</v>
      </c>
      <c r="P102" s="104"/>
      <c r="Q102" s="150">
        <f t="shared" si="17"/>
        <v>0</v>
      </c>
      <c r="R102" s="148">
        <v>0</v>
      </c>
      <c r="S102" s="150">
        <f t="shared" si="18"/>
        <v>0</v>
      </c>
      <c r="T102" s="154" t="s">
        <v>48</v>
      </c>
    </row>
    <row r="103" spans="2:20" ht="20.25" customHeight="1">
      <c r="C103" s="96"/>
      <c r="D103" s="102">
        <f t="shared" si="15"/>
        <v>103</v>
      </c>
      <c r="E103" s="106" t="s">
        <v>109</v>
      </c>
      <c r="F103" s="108">
        <f t="shared" si="16"/>
        <v>102</v>
      </c>
      <c r="G103" s="105" t="s">
        <v>52</v>
      </c>
      <c r="H103" s="105"/>
      <c r="I103" s="104"/>
      <c r="J103" s="104"/>
      <c r="K103" s="120">
        <f>K102+K101</f>
        <v>4</v>
      </c>
      <c r="L103" s="118" t="s">
        <v>81</v>
      </c>
      <c r="M103" s="161">
        <f>K103</f>
        <v>4</v>
      </c>
      <c r="N103" s="104" t="s">
        <v>81</v>
      </c>
      <c r="O103" s="120">
        <v>0</v>
      </c>
      <c r="P103" s="104"/>
      <c r="Q103" s="150">
        <f t="shared" si="17"/>
        <v>0</v>
      </c>
      <c r="R103" s="148">
        <v>0</v>
      </c>
      <c r="S103" s="150">
        <f t="shared" si="18"/>
        <v>0</v>
      </c>
      <c r="T103" s="154" t="s">
        <v>48</v>
      </c>
    </row>
    <row r="104" spans="2:20" ht="20.25" customHeight="1">
      <c r="B104" s="111"/>
      <c r="C104" s="96">
        <f>D104</f>
        <v>104</v>
      </c>
      <c r="D104" s="102">
        <f t="shared" si="15"/>
        <v>104</v>
      </c>
      <c r="E104" s="113" t="s">
        <v>127</v>
      </c>
      <c r="F104" s="108">
        <f>D100</f>
        <v>100</v>
      </c>
      <c r="G104" s="105"/>
      <c r="H104" s="105"/>
      <c r="I104" s="104"/>
      <c r="J104" s="104"/>
      <c r="K104" s="118"/>
      <c r="L104" s="118"/>
      <c r="M104" s="119"/>
      <c r="N104" s="104"/>
      <c r="O104" s="120"/>
      <c r="P104" s="104"/>
      <c r="Q104" s="150"/>
      <c r="R104" s="148"/>
      <c r="S104" s="150"/>
      <c r="T104" s="149"/>
    </row>
    <row r="105" spans="2:20" ht="20.25" customHeight="1">
      <c r="C105" s="96"/>
      <c r="D105" s="102">
        <f t="shared" si="15"/>
        <v>105</v>
      </c>
      <c r="E105" s="106" t="s">
        <v>125</v>
      </c>
      <c r="F105" s="108">
        <f t="shared" si="16"/>
        <v>104</v>
      </c>
      <c r="G105" s="105" t="s">
        <v>121</v>
      </c>
      <c r="H105" s="105"/>
      <c r="I105" s="120" t="str">
        <f>I97</f>
        <v>26" nb</v>
      </c>
      <c r="J105" s="104"/>
      <c r="K105" s="118">
        <f>K97</f>
        <v>2</v>
      </c>
      <c r="L105" s="118" t="s">
        <v>81</v>
      </c>
      <c r="M105" s="161">
        <v>2</v>
      </c>
      <c r="N105" s="104" t="s">
        <v>81</v>
      </c>
      <c r="O105" s="120">
        <v>4</v>
      </c>
      <c r="P105" s="104"/>
      <c r="Q105" s="150">
        <f t="shared" si="17"/>
        <v>8</v>
      </c>
      <c r="R105" s="148">
        <v>0</v>
      </c>
      <c r="S105" s="150">
        <f t="shared" si="18"/>
        <v>8</v>
      </c>
      <c r="T105" s="154" t="s">
        <v>48</v>
      </c>
    </row>
    <row r="106" spans="2:20" ht="20.25" customHeight="1">
      <c r="C106" s="96"/>
      <c r="D106" s="102">
        <f t="shared" si="15"/>
        <v>106</v>
      </c>
      <c r="E106" s="106" t="s">
        <v>104</v>
      </c>
      <c r="F106" s="108">
        <f t="shared" si="16"/>
        <v>105</v>
      </c>
      <c r="G106" s="105" t="s">
        <v>121</v>
      </c>
      <c r="H106" s="105"/>
      <c r="I106" s="120" t="str">
        <f>I98</f>
        <v>2"nb</v>
      </c>
      <c r="J106" s="104"/>
      <c r="K106" s="118">
        <f>K98</f>
        <v>2</v>
      </c>
      <c r="L106" s="118" t="s">
        <v>81</v>
      </c>
      <c r="M106" s="161">
        <v>2</v>
      </c>
      <c r="N106" s="104" t="s">
        <v>81</v>
      </c>
      <c r="O106" s="120">
        <v>0</v>
      </c>
      <c r="P106" s="104"/>
      <c r="Q106" s="150">
        <f t="shared" si="17"/>
        <v>0</v>
      </c>
      <c r="R106" s="148">
        <v>0</v>
      </c>
      <c r="S106" s="150">
        <f t="shared" si="18"/>
        <v>0</v>
      </c>
      <c r="T106" s="154" t="s">
        <v>48</v>
      </c>
    </row>
    <row r="107" spans="2:20" ht="20.25" customHeight="1">
      <c r="C107" s="96"/>
      <c r="D107" s="102">
        <f t="shared" si="15"/>
        <v>107</v>
      </c>
      <c r="E107" s="106" t="s">
        <v>109</v>
      </c>
      <c r="F107" s="108">
        <f t="shared" si="16"/>
        <v>106</v>
      </c>
      <c r="G107" s="105" t="s">
        <v>121</v>
      </c>
      <c r="H107" s="105"/>
      <c r="I107" s="104"/>
      <c r="J107" s="104"/>
      <c r="K107" s="141">
        <f>K106+K105</f>
        <v>4</v>
      </c>
      <c r="L107" s="118" t="s">
        <v>81</v>
      </c>
      <c r="M107" s="161">
        <v>4</v>
      </c>
      <c r="N107" s="104" t="s">
        <v>81</v>
      </c>
      <c r="O107" s="120">
        <v>0</v>
      </c>
      <c r="P107" s="104"/>
      <c r="Q107" s="150">
        <f t="shared" si="17"/>
        <v>0</v>
      </c>
      <c r="R107" s="148">
        <v>0</v>
      </c>
      <c r="S107" s="150">
        <f t="shared" si="18"/>
        <v>0</v>
      </c>
      <c r="T107" s="154" t="s">
        <v>48</v>
      </c>
    </row>
    <row r="108" spans="2:20" ht="20.25" customHeight="1">
      <c r="B108" s="111"/>
      <c r="C108" s="96">
        <f>D108</f>
        <v>108</v>
      </c>
      <c r="D108" s="102">
        <f t="shared" si="15"/>
        <v>108</v>
      </c>
      <c r="E108" s="113" t="s">
        <v>128</v>
      </c>
      <c r="F108" s="108">
        <f>D104</f>
        <v>104</v>
      </c>
      <c r="G108" s="105"/>
      <c r="H108" s="105"/>
      <c r="I108" s="104"/>
      <c r="J108" s="104"/>
      <c r="K108" s="118"/>
      <c r="L108" s="118"/>
      <c r="M108" s="119"/>
      <c r="N108" s="104"/>
      <c r="O108" s="120"/>
      <c r="P108" s="104"/>
      <c r="Q108" s="150"/>
      <c r="R108" s="148"/>
      <c r="S108" s="150"/>
      <c r="T108" s="149"/>
    </row>
    <row r="109" spans="2:20" ht="20.25" customHeight="1">
      <c r="C109" s="96"/>
      <c r="D109" s="102">
        <f t="shared" si="15"/>
        <v>109</v>
      </c>
      <c r="E109" s="106" t="s">
        <v>125</v>
      </c>
      <c r="F109" s="108">
        <f t="shared" si="16"/>
        <v>108</v>
      </c>
      <c r="G109" s="105" t="s">
        <v>626</v>
      </c>
      <c r="H109" s="105"/>
      <c r="I109" s="120" t="str">
        <f>I97</f>
        <v>26" nb</v>
      </c>
      <c r="J109" s="104"/>
      <c r="K109" s="118">
        <v>2</v>
      </c>
      <c r="L109" s="118" t="s">
        <v>50</v>
      </c>
      <c r="M109" s="161">
        <v>2</v>
      </c>
      <c r="N109" s="104" t="s">
        <v>50</v>
      </c>
      <c r="O109" s="120">
        <v>4</v>
      </c>
      <c r="P109" s="104" t="s">
        <v>112</v>
      </c>
      <c r="Q109" s="150">
        <f t="shared" si="17"/>
        <v>8</v>
      </c>
      <c r="R109" s="148">
        <v>1</v>
      </c>
      <c r="S109" s="150">
        <f t="shared" si="18"/>
        <v>9</v>
      </c>
      <c r="T109" s="154" t="s">
        <v>48</v>
      </c>
    </row>
    <row r="110" spans="2:20" ht="20.25" customHeight="1">
      <c r="C110" s="96"/>
      <c r="D110" s="102">
        <f t="shared" si="15"/>
        <v>110</v>
      </c>
      <c r="E110" s="106" t="s">
        <v>104</v>
      </c>
      <c r="F110" s="108">
        <f t="shared" si="16"/>
        <v>109</v>
      </c>
      <c r="G110" s="105" t="s">
        <v>626</v>
      </c>
      <c r="H110" s="105"/>
      <c r="I110" s="120" t="str">
        <f>I98</f>
        <v>2"nb</v>
      </c>
      <c r="J110" s="104"/>
      <c r="K110" s="118">
        <v>2</v>
      </c>
      <c r="L110" s="118" t="s">
        <v>50</v>
      </c>
      <c r="M110" s="161">
        <v>2</v>
      </c>
      <c r="N110" s="104" t="s">
        <v>50</v>
      </c>
      <c r="O110" s="120">
        <v>0</v>
      </c>
      <c r="P110" s="104" t="s">
        <v>112</v>
      </c>
      <c r="Q110" s="150">
        <f t="shared" si="17"/>
        <v>0</v>
      </c>
      <c r="R110" s="148">
        <v>1</v>
      </c>
      <c r="S110" s="150">
        <f t="shared" si="18"/>
        <v>1</v>
      </c>
      <c r="T110" s="154" t="s">
        <v>48</v>
      </c>
    </row>
    <row r="111" spans="2:20" ht="20.25" customHeight="1">
      <c r="C111" s="96"/>
      <c r="D111" s="102">
        <f t="shared" si="15"/>
        <v>111</v>
      </c>
      <c r="E111" s="106" t="s">
        <v>109</v>
      </c>
      <c r="F111" s="108">
        <f t="shared" si="16"/>
        <v>110</v>
      </c>
      <c r="G111" s="105" t="s">
        <v>626</v>
      </c>
      <c r="H111" s="105"/>
      <c r="I111" s="104"/>
      <c r="J111" s="104"/>
      <c r="K111" s="118">
        <v>4</v>
      </c>
      <c r="L111" s="118" t="s">
        <v>50</v>
      </c>
      <c r="M111" s="161">
        <v>4</v>
      </c>
      <c r="N111" s="104" t="s">
        <v>50</v>
      </c>
      <c r="O111" s="120">
        <v>0.25</v>
      </c>
      <c r="P111" s="104" t="s">
        <v>112</v>
      </c>
      <c r="Q111" s="150">
        <f t="shared" si="17"/>
        <v>1</v>
      </c>
      <c r="R111" s="148">
        <v>1</v>
      </c>
      <c r="S111" s="150">
        <f t="shared" si="18"/>
        <v>2</v>
      </c>
      <c r="T111" s="154" t="s">
        <v>48</v>
      </c>
    </row>
    <row r="112" spans="2:20" ht="20.25" customHeight="1">
      <c r="B112" s="111"/>
      <c r="C112" s="96">
        <f>D112</f>
        <v>112</v>
      </c>
      <c r="D112" s="102">
        <f t="shared" si="15"/>
        <v>112</v>
      </c>
      <c r="E112" s="113" t="s">
        <v>129</v>
      </c>
      <c r="F112" s="108">
        <f>D108</f>
        <v>108</v>
      </c>
      <c r="G112" s="105"/>
      <c r="H112" s="105"/>
      <c r="I112" s="104"/>
      <c r="J112" s="104"/>
      <c r="K112" s="118"/>
      <c r="L112" s="118"/>
      <c r="M112" s="119"/>
      <c r="N112" s="104"/>
      <c r="O112" s="120"/>
      <c r="P112" s="104"/>
      <c r="Q112" s="150"/>
      <c r="R112" s="148"/>
      <c r="S112" s="150"/>
      <c r="T112" s="149"/>
    </row>
    <row r="113" spans="2:20" ht="20.25" customHeight="1">
      <c r="C113" s="96"/>
      <c r="D113" s="102">
        <f t="shared" si="15"/>
        <v>113</v>
      </c>
      <c r="E113" s="106" t="s">
        <v>125</v>
      </c>
      <c r="F113" s="108">
        <f t="shared" si="16"/>
        <v>112</v>
      </c>
      <c r="G113" s="105" t="s">
        <v>115</v>
      </c>
      <c r="H113" s="105"/>
      <c r="I113" s="138" t="s">
        <v>116</v>
      </c>
      <c r="J113" s="138" t="s">
        <v>117</v>
      </c>
      <c r="K113" s="118">
        <v>2</v>
      </c>
      <c r="L113" s="118" t="s">
        <v>50</v>
      </c>
      <c r="M113" s="128">
        <f>LEFT(J113,SEARCH(" ",J113,1)-1)*K113*0.001</f>
        <v>6.1080000000000005</v>
      </c>
      <c r="N113" s="104" t="s">
        <v>50</v>
      </c>
      <c r="O113" s="162">
        <f>6.12</f>
        <v>6.12</v>
      </c>
      <c r="P113" s="104" t="s">
        <v>112</v>
      </c>
      <c r="Q113" s="150">
        <f>M113*O113</f>
        <v>37.380960000000002</v>
      </c>
      <c r="R113" s="148">
        <v>1</v>
      </c>
      <c r="S113" s="150">
        <f t="shared" si="18"/>
        <v>38.380960000000002</v>
      </c>
      <c r="T113" s="154" t="s">
        <v>48</v>
      </c>
    </row>
    <row r="114" spans="2:20" ht="20.25" customHeight="1">
      <c r="C114" s="96"/>
      <c r="D114" s="102">
        <f t="shared" si="15"/>
        <v>114</v>
      </c>
      <c r="E114" s="106" t="s">
        <v>104</v>
      </c>
      <c r="F114" s="108">
        <f t="shared" si="16"/>
        <v>113</v>
      </c>
      <c r="G114" s="105" t="s">
        <v>115</v>
      </c>
      <c r="H114" s="105"/>
      <c r="I114" s="160" t="str">
        <f>I102</f>
        <v>2"nb</v>
      </c>
      <c r="J114" s="104"/>
      <c r="K114" s="118">
        <v>2</v>
      </c>
      <c r="L114" s="118" t="s">
        <v>50</v>
      </c>
      <c r="M114" s="161">
        <v>0</v>
      </c>
      <c r="N114" s="104" t="s">
        <v>50</v>
      </c>
      <c r="O114" s="162"/>
      <c r="P114" s="104" t="s">
        <v>112</v>
      </c>
      <c r="Q114" s="150">
        <f t="shared" ref="Q114:Q115" si="21">M114*O114</f>
        <v>0</v>
      </c>
      <c r="R114" s="148"/>
      <c r="S114" s="150">
        <f t="shared" si="18"/>
        <v>0</v>
      </c>
      <c r="T114" s="154" t="s">
        <v>48</v>
      </c>
    </row>
    <row r="115" spans="2:20" ht="20.25" customHeight="1">
      <c r="C115" s="96"/>
      <c r="D115" s="102">
        <f t="shared" si="15"/>
        <v>115</v>
      </c>
      <c r="E115" s="106" t="s">
        <v>109</v>
      </c>
      <c r="F115" s="108">
        <f t="shared" si="16"/>
        <v>114</v>
      </c>
      <c r="G115" s="105" t="s">
        <v>115</v>
      </c>
      <c r="H115" s="105"/>
      <c r="I115" s="104"/>
      <c r="J115" s="104"/>
      <c r="K115" s="118">
        <v>4</v>
      </c>
      <c r="L115" s="118" t="s">
        <v>50</v>
      </c>
      <c r="M115" s="161">
        <v>4</v>
      </c>
      <c r="N115" s="104" t="s">
        <v>50</v>
      </c>
      <c r="O115" s="120">
        <v>0.25</v>
      </c>
      <c r="P115" s="104" t="s">
        <v>112</v>
      </c>
      <c r="Q115" s="150">
        <f t="shared" si="21"/>
        <v>1</v>
      </c>
      <c r="R115" s="148">
        <v>1</v>
      </c>
      <c r="S115" s="150">
        <f t="shared" si="18"/>
        <v>2</v>
      </c>
      <c r="T115" s="154" t="s">
        <v>48</v>
      </c>
    </row>
    <row r="116" spans="2:20" ht="20.25" customHeight="1">
      <c r="B116" s="111"/>
      <c r="C116" s="96">
        <f>D116</f>
        <v>116</v>
      </c>
      <c r="D116" s="102">
        <f t="shared" si="15"/>
        <v>116</v>
      </c>
      <c r="E116" s="113" t="s">
        <v>130</v>
      </c>
      <c r="F116" s="108">
        <f>D112</f>
        <v>112</v>
      </c>
      <c r="G116" s="105"/>
      <c r="H116" s="105"/>
      <c r="I116" s="104"/>
      <c r="J116" s="104"/>
      <c r="K116" s="118"/>
      <c r="L116" s="118"/>
      <c r="M116" s="119"/>
      <c r="N116" s="104"/>
      <c r="O116" s="120"/>
      <c r="P116" s="104"/>
      <c r="Q116" s="150"/>
      <c r="R116" s="148"/>
      <c r="S116" s="150"/>
      <c r="T116" s="149"/>
    </row>
    <row r="117" spans="2:20" ht="20.25" customHeight="1">
      <c r="C117" s="96"/>
      <c r="D117" s="102">
        <f t="shared" si="15"/>
        <v>117</v>
      </c>
      <c r="E117" s="106" t="s">
        <v>125</v>
      </c>
      <c r="F117" s="108">
        <f t="shared" si="16"/>
        <v>116</v>
      </c>
      <c r="G117" s="105" t="s">
        <v>44</v>
      </c>
      <c r="H117" s="105"/>
      <c r="I117" s="120" t="str">
        <f>I105</f>
        <v>26" nb</v>
      </c>
      <c r="J117" s="104"/>
      <c r="K117" s="118">
        <v>2</v>
      </c>
      <c r="L117" s="118" t="s">
        <v>50</v>
      </c>
      <c r="M117" s="119">
        <v>1</v>
      </c>
      <c r="N117" s="104" t="s">
        <v>50</v>
      </c>
      <c r="O117" s="162">
        <v>4</v>
      </c>
      <c r="P117" s="104" t="s">
        <v>112</v>
      </c>
      <c r="Q117" s="150">
        <f t="shared" si="17"/>
        <v>4</v>
      </c>
      <c r="R117" s="148">
        <v>1</v>
      </c>
      <c r="S117" s="150">
        <f t="shared" si="18"/>
        <v>5</v>
      </c>
      <c r="T117" s="154" t="s">
        <v>48</v>
      </c>
    </row>
    <row r="118" spans="2:20" ht="20.25" customHeight="1">
      <c r="C118" s="96"/>
      <c r="D118" s="102">
        <f t="shared" si="15"/>
        <v>118</v>
      </c>
      <c r="E118" s="106" t="s">
        <v>104</v>
      </c>
      <c r="F118" s="108">
        <f t="shared" si="16"/>
        <v>117</v>
      </c>
      <c r="G118" s="105" t="s">
        <v>44</v>
      </c>
      <c r="H118" s="105"/>
      <c r="I118" s="120" t="str">
        <f>I106</f>
        <v>2"nb</v>
      </c>
      <c r="J118" s="104"/>
      <c r="K118" s="118">
        <v>2</v>
      </c>
      <c r="L118" s="118" t="s">
        <v>50</v>
      </c>
      <c r="M118" s="119">
        <v>1</v>
      </c>
      <c r="N118" s="104" t="s">
        <v>50</v>
      </c>
      <c r="O118" s="162">
        <v>1</v>
      </c>
      <c r="P118" s="104" t="s">
        <v>112</v>
      </c>
      <c r="Q118" s="150">
        <f t="shared" si="17"/>
        <v>1</v>
      </c>
      <c r="R118" s="148">
        <v>1</v>
      </c>
      <c r="S118" s="150">
        <f t="shared" si="18"/>
        <v>2</v>
      </c>
      <c r="T118" s="154" t="s">
        <v>48</v>
      </c>
    </row>
    <row r="119" spans="2:20" ht="20.25" customHeight="1">
      <c r="C119" s="96"/>
      <c r="D119" s="102">
        <f t="shared" si="15"/>
        <v>119</v>
      </c>
      <c r="E119" s="106" t="s">
        <v>109</v>
      </c>
      <c r="F119" s="108">
        <f t="shared" si="16"/>
        <v>118</v>
      </c>
      <c r="G119" s="105" t="s">
        <v>44</v>
      </c>
      <c r="H119" s="105"/>
      <c r="I119" s="104"/>
      <c r="J119" s="104"/>
      <c r="K119" s="118">
        <v>4</v>
      </c>
      <c r="L119" s="118" t="s">
        <v>50</v>
      </c>
      <c r="M119" s="119">
        <v>1</v>
      </c>
      <c r="N119" s="104" t="s">
        <v>50</v>
      </c>
      <c r="O119" s="120">
        <v>1</v>
      </c>
      <c r="P119" s="104" t="s">
        <v>112</v>
      </c>
      <c r="Q119" s="150">
        <f t="shared" si="17"/>
        <v>1</v>
      </c>
      <c r="R119" s="148">
        <v>1</v>
      </c>
      <c r="S119" s="150">
        <f t="shared" si="18"/>
        <v>2</v>
      </c>
      <c r="T119" s="154" t="s">
        <v>48</v>
      </c>
    </row>
    <row r="120" spans="2:20" ht="20.25" customHeight="1">
      <c r="B120" s="111"/>
      <c r="C120" s="96">
        <f>D120</f>
        <v>120</v>
      </c>
      <c r="D120" s="102">
        <f t="shared" si="15"/>
        <v>120</v>
      </c>
      <c r="E120" s="113" t="s">
        <v>746</v>
      </c>
      <c r="F120" s="108">
        <f>D116</f>
        <v>116</v>
      </c>
      <c r="G120" s="105"/>
      <c r="H120" s="105"/>
      <c r="I120" s="104"/>
      <c r="J120" s="104"/>
      <c r="K120" s="118"/>
      <c r="L120" s="118"/>
      <c r="M120" s="119"/>
      <c r="N120" s="104"/>
      <c r="O120" s="120"/>
      <c r="P120" s="104"/>
      <c r="Q120" s="150"/>
      <c r="R120" s="148"/>
      <c r="S120" s="150"/>
      <c r="T120" s="149"/>
    </row>
    <row r="121" spans="2:20" ht="20.25" customHeight="1">
      <c r="C121" s="96"/>
      <c r="D121" s="102">
        <f t="shared" si="15"/>
        <v>121</v>
      </c>
      <c r="E121" s="106" t="s">
        <v>125</v>
      </c>
      <c r="F121" s="108">
        <f t="shared" si="16"/>
        <v>120</v>
      </c>
      <c r="G121" s="105" t="s">
        <v>44</v>
      </c>
      <c r="H121" s="105"/>
      <c r="I121" s="120" t="str">
        <f>I109</f>
        <v>26" nb</v>
      </c>
      <c r="J121" s="104"/>
      <c r="K121" s="118">
        <v>2</v>
      </c>
      <c r="L121" s="118" t="s">
        <v>50</v>
      </c>
      <c r="M121" s="119">
        <v>0</v>
      </c>
      <c r="N121" s="104" t="s">
        <v>50</v>
      </c>
      <c r="O121" s="162"/>
      <c r="P121" s="104" t="s">
        <v>112</v>
      </c>
      <c r="Q121" s="150">
        <f t="shared" ref="Q121:Q123" si="22">M121*O121</f>
        <v>0</v>
      </c>
      <c r="R121" s="148">
        <v>1</v>
      </c>
      <c r="S121" s="150">
        <f t="shared" ref="S121:S123" si="23">Q121+R121</f>
        <v>1</v>
      </c>
      <c r="T121" s="154" t="s">
        <v>48</v>
      </c>
    </row>
    <row r="122" spans="2:20" ht="20.25" customHeight="1">
      <c r="C122" s="96"/>
      <c r="D122" s="102">
        <f t="shared" si="15"/>
        <v>122</v>
      </c>
      <c r="E122" s="106" t="s">
        <v>104</v>
      </c>
      <c r="F122" s="108">
        <f t="shared" si="16"/>
        <v>121</v>
      </c>
      <c r="G122" s="105" t="s">
        <v>44</v>
      </c>
      <c r="H122" s="105"/>
      <c r="I122" s="120" t="str">
        <f>I110</f>
        <v>2"nb</v>
      </c>
      <c r="J122" s="104"/>
      <c r="K122" s="118">
        <v>2</v>
      </c>
      <c r="L122" s="118" t="s">
        <v>50</v>
      </c>
      <c r="M122" s="119">
        <v>0</v>
      </c>
      <c r="N122" s="104" t="s">
        <v>50</v>
      </c>
      <c r="O122" s="162"/>
      <c r="P122" s="104" t="s">
        <v>112</v>
      </c>
      <c r="Q122" s="150">
        <f t="shared" si="22"/>
        <v>0</v>
      </c>
      <c r="R122" s="148">
        <v>1</v>
      </c>
      <c r="S122" s="150">
        <f t="shared" si="23"/>
        <v>1</v>
      </c>
      <c r="T122" s="154" t="s">
        <v>48</v>
      </c>
    </row>
    <row r="123" spans="2:20" ht="20.25" customHeight="1">
      <c r="C123" s="96"/>
      <c r="D123" s="102">
        <f t="shared" si="15"/>
        <v>123</v>
      </c>
      <c r="E123" s="106" t="s">
        <v>109</v>
      </c>
      <c r="F123" s="108">
        <f t="shared" si="16"/>
        <v>122</v>
      </c>
      <c r="G123" s="105" t="s">
        <v>44</v>
      </c>
      <c r="H123" s="105"/>
      <c r="I123" s="104"/>
      <c r="J123" s="104"/>
      <c r="K123" s="118">
        <v>4</v>
      </c>
      <c r="L123" s="118" t="s">
        <v>50</v>
      </c>
      <c r="M123" s="119">
        <v>0</v>
      </c>
      <c r="N123" s="104" t="s">
        <v>50</v>
      </c>
      <c r="O123" s="120"/>
      <c r="P123" s="104" t="s">
        <v>112</v>
      </c>
      <c r="Q123" s="150">
        <f t="shared" si="22"/>
        <v>0</v>
      </c>
      <c r="R123" s="148">
        <v>1</v>
      </c>
      <c r="S123" s="150">
        <f t="shared" si="23"/>
        <v>1</v>
      </c>
      <c r="T123" s="154" t="s">
        <v>48</v>
      </c>
    </row>
    <row r="124" spans="2:20" ht="20.25" customHeight="1">
      <c r="B124" s="111"/>
      <c r="C124" s="96">
        <f>D124</f>
        <v>124</v>
      </c>
      <c r="D124" s="102">
        <f t="shared" si="15"/>
        <v>124</v>
      </c>
      <c r="E124" s="113" t="s">
        <v>747</v>
      </c>
      <c r="F124" s="108">
        <f>D120</f>
        <v>120</v>
      </c>
      <c r="G124" s="105"/>
      <c r="H124" s="105"/>
      <c r="I124" s="104"/>
      <c r="J124" s="104"/>
      <c r="K124" s="118"/>
      <c r="L124" s="118"/>
      <c r="M124" s="119"/>
      <c r="N124" s="104"/>
      <c r="O124" s="120"/>
      <c r="P124" s="104"/>
      <c r="Q124" s="150"/>
      <c r="R124" s="148"/>
      <c r="S124" s="150"/>
      <c r="T124" s="149"/>
    </row>
    <row r="125" spans="2:20" ht="20.25" customHeight="1">
      <c r="C125" s="96"/>
      <c r="D125" s="102">
        <f t="shared" si="15"/>
        <v>125</v>
      </c>
      <c r="E125" s="106" t="s">
        <v>125</v>
      </c>
      <c r="F125" s="108">
        <f t="shared" si="16"/>
        <v>124</v>
      </c>
      <c r="G125" s="105" t="s">
        <v>121</v>
      </c>
      <c r="H125" s="105"/>
      <c r="I125" s="132" t="s">
        <v>123</v>
      </c>
      <c r="J125" s="138" t="s">
        <v>117</v>
      </c>
      <c r="K125" s="118">
        <v>2</v>
      </c>
      <c r="L125" s="118" t="s">
        <v>50</v>
      </c>
      <c r="M125" s="128">
        <f>LEFT(J125,SEARCH(" ",J125,1)-1)*K125*0.001</f>
        <v>6.1080000000000005</v>
      </c>
      <c r="N125" s="104" t="s">
        <v>50</v>
      </c>
      <c r="O125" s="162">
        <v>1</v>
      </c>
      <c r="P125" s="104" t="s">
        <v>112</v>
      </c>
      <c r="Q125" s="150">
        <f t="shared" ref="Q125:Q127" si="24">M125*O125</f>
        <v>6.1080000000000005</v>
      </c>
      <c r="R125" s="148">
        <v>1</v>
      </c>
      <c r="S125" s="150">
        <f t="shared" ref="S125:S127" si="25">Q125+R125</f>
        <v>7.1080000000000005</v>
      </c>
      <c r="T125" s="154" t="s">
        <v>48</v>
      </c>
    </row>
    <row r="126" spans="2:20" ht="20.25" customHeight="1">
      <c r="C126" s="96"/>
      <c r="D126" s="102">
        <f t="shared" si="15"/>
        <v>126</v>
      </c>
      <c r="E126" s="106" t="s">
        <v>104</v>
      </c>
      <c r="F126" s="108">
        <f t="shared" si="16"/>
        <v>125</v>
      </c>
      <c r="G126" s="105" t="s">
        <v>121</v>
      </c>
      <c r="H126" s="105"/>
      <c r="I126" s="104">
        <v>18</v>
      </c>
      <c r="J126" s="112" t="s">
        <v>745</v>
      </c>
      <c r="K126" s="118">
        <v>2</v>
      </c>
      <c r="L126" s="118" t="s">
        <v>50</v>
      </c>
      <c r="M126" s="128">
        <f>LEFT(J126,SEARCH(" ",J126,1)-1)*K126*0.001</f>
        <v>0.54400000000000004</v>
      </c>
      <c r="N126" s="104" t="s">
        <v>50</v>
      </c>
      <c r="O126" s="162">
        <v>0.5</v>
      </c>
      <c r="P126" s="104" t="s">
        <v>112</v>
      </c>
      <c r="Q126" s="150">
        <f t="shared" si="24"/>
        <v>0.27200000000000002</v>
      </c>
      <c r="R126" s="148">
        <v>1</v>
      </c>
      <c r="S126" s="150">
        <f t="shared" si="25"/>
        <v>1.272</v>
      </c>
      <c r="T126" s="154" t="s">
        <v>48</v>
      </c>
    </row>
    <row r="127" spans="2:20" ht="20.25" customHeight="1">
      <c r="C127" s="96"/>
      <c r="D127" s="102">
        <f t="shared" si="15"/>
        <v>127</v>
      </c>
      <c r="E127" s="106" t="s">
        <v>109</v>
      </c>
      <c r="F127" s="108">
        <f t="shared" si="16"/>
        <v>126</v>
      </c>
      <c r="G127" s="105" t="s">
        <v>121</v>
      </c>
      <c r="H127" s="105"/>
      <c r="I127" s="104"/>
      <c r="J127" s="104"/>
      <c r="K127" s="118">
        <v>4</v>
      </c>
      <c r="L127" s="118" t="s">
        <v>50</v>
      </c>
      <c r="M127" s="119">
        <v>1</v>
      </c>
      <c r="N127" s="104" t="s">
        <v>50</v>
      </c>
      <c r="O127" s="120">
        <v>1</v>
      </c>
      <c r="P127" s="104" t="s">
        <v>112</v>
      </c>
      <c r="Q127" s="150">
        <f t="shared" si="24"/>
        <v>1</v>
      </c>
      <c r="R127" s="148">
        <v>1</v>
      </c>
      <c r="S127" s="150">
        <f t="shared" si="25"/>
        <v>2</v>
      </c>
      <c r="T127" s="154" t="s">
        <v>48</v>
      </c>
    </row>
    <row r="128" spans="2:20" ht="20.25" customHeight="1">
      <c r="B128" s="111"/>
      <c r="C128" s="96">
        <f t="shared" ref="C128:C129" si="26">D128</f>
        <v>128</v>
      </c>
      <c r="D128" s="102">
        <f t="shared" si="15"/>
        <v>128</v>
      </c>
      <c r="E128" s="103" t="s">
        <v>133</v>
      </c>
      <c r="F128" s="108">
        <f>D124</f>
        <v>124</v>
      </c>
      <c r="G128" s="105"/>
      <c r="H128" s="105"/>
      <c r="I128" s="104"/>
      <c r="J128" s="104"/>
      <c r="K128" s="118"/>
      <c r="L128" s="118"/>
      <c r="M128" s="119"/>
      <c r="N128" s="104"/>
      <c r="O128" s="120"/>
      <c r="P128" s="104"/>
      <c r="Q128" s="150"/>
      <c r="R128" s="148"/>
      <c r="S128" s="150"/>
      <c r="T128" s="149"/>
    </row>
    <row r="129" spans="2:20" ht="20.25" customHeight="1">
      <c r="C129" s="96">
        <f t="shared" si="26"/>
        <v>129</v>
      </c>
      <c r="D129" s="102">
        <f t="shared" si="15"/>
        <v>129</v>
      </c>
      <c r="E129" s="113" t="s">
        <v>134</v>
      </c>
      <c r="F129" s="108">
        <f>D128</f>
        <v>128</v>
      </c>
      <c r="G129" s="105"/>
      <c r="H129" s="105"/>
      <c r="I129" s="104"/>
      <c r="J129" s="104"/>
      <c r="K129" s="118"/>
      <c r="L129" s="118"/>
      <c r="M129" s="119"/>
      <c r="N129" s="104"/>
      <c r="O129" s="120"/>
      <c r="P129" s="104"/>
      <c r="Q129" s="150"/>
      <c r="R129" s="148"/>
      <c r="S129" s="150"/>
      <c r="T129" s="149"/>
    </row>
    <row r="130" spans="2:20" ht="20.25" customHeight="1">
      <c r="C130" s="96"/>
      <c r="D130" s="102">
        <f t="shared" si="15"/>
        <v>130</v>
      </c>
      <c r="E130" s="106" t="s">
        <v>135</v>
      </c>
      <c r="F130" s="108">
        <f t="shared" si="16"/>
        <v>129</v>
      </c>
      <c r="G130" s="105"/>
      <c r="H130" s="105"/>
      <c r="I130" s="104"/>
      <c r="J130" s="104"/>
      <c r="K130" s="118">
        <v>1</v>
      </c>
      <c r="L130" s="141" t="s">
        <v>84</v>
      </c>
      <c r="M130" s="119">
        <v>1</v>
      </c>
      <c r="N130" s="132" t="s">
        <v>84</v>
      </c>
      <c r="O130" s="120">
        <v>4</v>
      </c>
      <c r="P130" s="132" t="s">
        <v>41</v>
      </c>
      <c r="Q130" s="150">
        <f t="shared" ref="Q130" si="27">M130*O130</f>
        <v>4</v>
      </c>
      <c r="R130" s="148">
        <v>0</v>
      </c>
      <c r="S130" s="150">
        <f t="shared" ref="S130" si="28">Q130+R130</f>
        <v>4</v>
      </c>
      <c r="T130" s="152" t="s">
        <v>41</v>
      </c>
    </row>
    <row r="131" spans="2:20" ht="20.25" customHeight="1">
      <c r="C131" s="96"/>
      <c r="D131" s="102">
        <f t="shared" ref="D131:D194" si="29">D130+1</f>
        <v>131</v>
      </c>
      <c r="E131" s="106" t="s">
        <v>136</v>
      </c>
      <c r="F131" s="108">
        <f t="shared" si="16"/>
        <v>130</v>
      </c>
      <c r="G131" s="105" t="s">
        <v>44</v>
      </c>
      <c r="H131" s="105"/>
      <c r="I131" s="132" t="s">
        <v>137</v>
      </c>
      <c r="J131" s="132" t="s">
        <v>138</v>
      </c>
      <c r="K131" s="118">
        <v>1</v>
      </c>
      <c r="L131" s="141" t="s">
        <v>84</v>
      </c>
      <c r="M131" s="128">
        <f>LEFT(J131,SEARCH(" ",J131,1)-1)*K131</f>
        <v>9</v>
      </c>
      <c r="N131" s="104" t="s">
        <v>139</v>
      </c>
      <c r="O131" s="162">
        <v>0.25</v>
      </c>
      <c r="P131" s="104" t="s">
        <v>112</v>
      </c>
      <c r="Q131" s="150">
        <f t="shared" si="17"/>
        <v>2.25</v>
      </c>
      <c r="R131" s="148">
        <v>1</v>
      </c>
      <c r="S131" s="150">
        <f t="shared" si="18"/>
        <v>3.25</v>
      </c>
      <c r="T131" s="152" t="s">
        <v>162</v>
      </c>
    </row>
    <row r="132" spans="2:20" ht="20.25" customHeight="1">
      <c r="C132" s="96"/>
      <c r="D132" s="102">
        <f t="shared" si="29"/>
        <v>132</v>
      </c>
      <c r="E132" s="106" t="s">
        <v>140</v>
      </c>
      <c r="F132" s="108">
        <f t="shared" si="16"/>
        <v>131</v>
      </c>
      <c r="G132" s="105" t="s">
        <v>44</v>
      </c>
      <c r="H132" s="105"/>
      <c r="I132" s="104" t="str">
        <f>I131</f>
        <v>30/25</v>
      </c>
      <c r="J132" s="132" t="s">
        <v>141</v>
      </c>
      <c r="K132" s="164">
        <v>1</v>
      </c>
      <c r="L132" s="141" t="s">
        <v>84</v>
      </c>
      <c r="M132" s="128">
        <f t="shared" ref="M132:M133" si="30">LEFT(J132,SEARCH(" ",J132,1)-1)*K132</f>
        <v>29</v>
      </c>
      <c r="N132" s="104" t="s">
        <v>139</v>
      </c>
      <c r="O132" s="162">
        <v>0.25</v>
      </c>
      <c r="P132" s="104" t="s">
        <v>112</v>
      </c>
      <c r="Q132" s="150">
        <f t="shared" si="17"/>
        <v>7.25</v>
      </c>
      <c r="R132" s="148">
        <v>1</v>
      </c>
      <c r="S132" s="150">
        <f t="shared" si="18"/>
        <v>8.25</v>
      </c>
      <c r="T132" s="152" t="s">
        <v>162</v>
      </c>
    </row>
    <row r="133" spans="2:20" ht="20.25" customHeight="1">
      <c r="C133" s="96"/>
      <c r="D133" s="102">
        <f t="shared" si="29"/>
        <v>133</v>
      </c>
      <c r="E133" s="106" t="s">
        <v>142</v>
      </c>
      <c r="F133" s="108">
        <f t="shared" si="16"/>
        <v>132</v>
      </c>
      <c r="G133" s="105" t="s">
        <v>44</v>
      </c>
      <c r="H133" s="105"/>
      <c r="I133" s="104">
        <v>25</v>
      </c>
      <c r="J133" s="132" t="s">
        <v>143</v>
      </c>
      <c r="K133" s="118">
        <v>1</v>
      </c>
      <c r="L133" s="141" t="s">
        <v>84</v>
      </c>
      <c r="M133" s="128">
        <f t="shared" si="30"/>
        <v>10.5</v>
      </c>
      <c r="N133" s="104" t="s">
        <v>139</v>
      </c>
      <c r="O133" s="162">
        <v>0.25</v>
      </c>
      <c r="P133" s="104" t="s">
        <v>112</v>
      </c>
      <c r="Q133" s="150">
        <f t="shared" si="17"/>
        <v>2.625</v>
      </c>
      <c r="R133" s="148">
        <v>1</v>
      </c>
      <c r="S133" s="150">
        <f t="shared" si="18"/>
        <v>3.625</v>
      </c>
      <c r="T133" s="152" t="s">
        <v>162</v>
      </c>
    </row>
    <row r="134" spans="2:20" ht="20.25" customHeight="1">
      <c r="B134" s="111"/>
      <c r="C134" s="96">
        <f>D134</f>
        <v>134</v>
      </c>
      <c r="D134" s="102">
        <f t="shared" si="29"/>
        <v>134</v>
      </c>
      <c r="E134" s="113" t="s">
        <v>144</v>
      </c>
      <c r="F134" s="108">
        <f>D129</f>
        <v>129</v>
      </c>
      <c r="G134" s="105"/>
      <c r="H134" s="105"/>
      <c r="I134" s="104"/>
      <c r="J134" s="104"/>
      <c r="K134" s="118"/>
      <c r="L134" s="118"/>
      <c r="M134" s="119"/>
      <c r="N134" s="104"/>
      <c r="O134" s="120"/>
      <c r="P134" s="104"/>
      <c r="Q134" s="150"/>
      <c r="R134" s="148"/>
      <c r="S134" s="150"/>
      <c r="T134" s="149"/>
    </row>
    <row r="135" spans="2:20" ht="20.25" customHeight="1">
      <c r="C135" s="96"/>
      <c r="D135" s="102">
        <f t="shared" si="29"/>
        <v>135</v>
      </c>
      <c r="E135" s="106" t="s">
        <v>145</v>
      </c>
      <c r="F135" s="108">
        <f t="shared" si="16"/>
        <v>134</v>
      </c>
      <c r="G135" s="105" t="s">
        <v>52</v>
      </c>
      <c r="H135" s="105"/>
      <c r="I135" s="108" t="str">
        <f t="shared" ref="I135:K137" si="31">I131</f>
        <v>30/25</v>
      </c>
      <c r="J135" s="108" t="str">
        <f>J131</f>
        <v>9 rmt</v>
      </c>
      <c r="K135" s="164">
        <f t="shared" si="31"/>
        <v>1</v>
      </c>
      <c r="L135" s="118" t="s">
        <v>81</v>
      </c>
      <c r="M135" s="128">
        <f t="shared" ref="M135:M137" si="32">LEFT(J135,SEARCH(" ",J135,1)-1)*K135</f>
        <v>9</v>
      </c>
      <c r="N135" s="104" t="s">
        <v>139</v>
      </c>
      <c r="O135" s="162">
        <v>0.5</v>
      </c>
      <c r="P135" s="104" t="s">
        <v>112</v>
      </c>
      <c r="Q135" s="150">
        <f t="shared" si="17"/>
        <v>4.5</v>
      </c>
      <c r="R135" s="148">
        <v>1</v>
      </c>
      <c r="S135" s="150">
        <f t="shared" si="18"/>
        <v>5.5</v>
      </c>
      <c r="T135" s="149" t="s">
        <v>48</v>
      </c>
    </row>
    <row r="136" spans="2:20" ht="20.25" customHeight="1">
      <c r="C136" s="96"/>
      <c r="D136" s="102">
        <f t="shared" si="29"/>
        <v>136</v>
      </c>
      <c r="E136" s="106" t="s">
        <v>146</v>
      </c>
      <c r="F136" s="108">
        <f t="shared" si="16"/>
        <v>135</v>
      </c>
      <c r="G136" s="105" t="s">
        <v>52</v>
      </c>
      <c r="H136" s="105"/>
      <c r="I136" s="108" t="str">
        <f t="shared" si="31"/>
        <v>30/25</v>
      </c>
      <c r="J136" s="108" t="str">
        <f>J132</f>
        <v>29 rmt</v>
      </c>
      <c r="K136" s="164">
        <f t="shared" si="31"/>
        <v>1</v>
      </c>
      <c r="L136" s="118" t="s">
        <v>81</v>
      </c>
      <c r="M136" s="128">
        <f t="shared" si="32"/>
        <v>29</v>
      </c>
      <c r="N136" s="104" t="s">
        <v>139</v>
      </c>
      <c r="O136" s="162">
        <v>0.5</v>
      </c>
      <c r="P136" s="104" t="s">
        <v>112</v>
      </c>
      <c r="Q136" s="150">
        <f t="shared" si="17"/>
        <v>14.5</v>
      </c>
      <c r="R136" s="148">
        <v>1</v>
      </c>
      <c r="S136" s="150">
        <f t="shared" si="18"/>
        <v>15.5</v>
      </c>
      <c r="T136" s="149" t="s">
        <v>48</v>
      </c>
    </row>
    <row r="137" spans="2:20" ht="20.25" customHeight="1">
      <c r="C137" s="96"/>
      <c r="D137" s="102">
        <f t="shared" si="29"/>
        <v>137</v>
      </c>
      <c r="E137" s="106" t="s">
        <v>147</v>
      </c>
      <c r="F137" s="108">
        <f t="shared" si="16"/>
        <v>136</v>
      </c>
      <c r="G137" s="105" t="s">
        <v>52</v>
      </c>
      <c r="H137" s="105"/>
      <c r="I137" s="108">
        <f t="shared" si="31"/>
        <v>25</v>
      </c>
      <c r="J137" s="108" t="str">
        <f>J133</f>
        <v>10.5 Rmt</v>
      </c>
      <c r="K137" s="164">
        <f t="shared" si="31"/>
        <v>1</v>
      </c>
      <c r="L137" s="118" t="s">
        <v>81</v>
      </c>
      <c r="M137" s="128">
        <f t="shared" si="32"/>
        <v>10.5</v>
      </c>
      <c r="N137" s="104" t="s">
        <v>139</v>
      </c>
      <c r="O137" s="162">
        <f>VLOOKUP(I137,BM!$B$3:$Y$62,3,FALSE)</f>
        <v>0.25</v>
      </c>
      <c r="P137" s="104" t="s">
        <v>112</v>
      </c>
      <c r="Q137" s="150">
        <f t="shared" si="17"/>
        <v>2.625</v>
      </c>
      <c r="R137" s="148">
        <v>1</v>
      </c>
      <c r="S137" s="150">
        <f t="shared" si="18"/>
        <v>3.625</v>
      </c>
      <c r="T137" s="149" t="s">
        <v>48</v>
      </c>
    </row>
    <row r="138" spans="2:20" ht="20.25" customHeight="1">
      <c r="C138" s="96"/>
      <c r="D138" s="102">
        <f t="shared" si="29"/>
        <v>138</v>
      </c>
      <c r="E138" s="106" t="s">
        <v>148</v>
      </c>
      <c r="F138" s="108">
        <f t="shared" si="16"/>
        <v>137</v>
      </c>
      <c r="G138" s="105" t="s">
        <v>149</v>
      </c>
      <c r="H138" s="105"/>
      <c r="I138" s="104">
        <v>25</v>
      </c>
      <c r="J138" s="104"/>
      <c r="K138" s="118"/>
      <c r="L138" s="118"/>
      <c r="M138" s="142">
        <f>M135+M136+M137</f>
        <v>48.5</v>
      </c>
      <c r="N138" s="104" t="s">
        <v>139</v>
      </c>
      <c r="O138" s="162">
        <f>VLOOKUP(I138,BM!$B$3:$Y$62,4,FALSE)</f>
        <v>0.15</v>
      </c>
      <c r="P138" s="104" t="s">
        <v>112</v>
      </c>
      <c r="Q138" s="150">
        <f t="shared" si="17"/>
        <v>7.2749999999999995</v>
      </c>
      <c r="R138" s="148">
        <v>1</v>
      </c>
      <c r="S138" s="150">
        <f t="shared" si="18"/>
        <v>8.2749999999999986</v>
      </c>
      <c r="T138" s="149" t="s">
        <v>48</v>
      </c>
    </row>
    <row r="139" spans="2:20" ht="20.25" customHeight="1">
      <c r="B139" s="111"/>
      <c r="C139" s="96">
        <f>D139</f>
        <v>139</v>
      </c>
      <c r="D139" s="102">
        <f t="shared" si="29"/>
        <v>139</v>
      </c>
      <c r="E139" s="103" t="s">
        <v>150</v>
      </c>
      <c r="F139" s="108">
        <f>D134</f>
        <v>134</v>
      </c>
      <c r="G139" s="105"/>
      <c r="H139" s="105"/>
      <c r="I139" s="104"/>
      <c r="J139" s="104"/>
      <c r="K139" s="118"/>
      <c r="L139" s="118"/>
      <c r="M139" s="119"/>
      <c r="N139" s="104"/>
      <c r="O139" s="120"/>
      <c r="P139" s="104"/>
      <c r="Q139" s="150"/>
      <c r="R139" s="148"/>
      <c r="S139" s="150"/>
      <c r="T139" s="149"/>
    </row>
    <row r="140" spans="2:20" ht="20.25" customHeight="1">
      <c r="C140" s="96"/>
      <c r="D140" s="102">
        <f t="shared" si="29"/>
        <v>140</v>
      </c>
      <c r="E140" s="106" t="s">
        <v>151</v>
      </c>
      <c r="F140" s="108">
        <f t="shared" si="16"/>
        <v>139</v>
      </c>
      <c r="G140" s="105" t="s">
        <v>748</v>
      </c>
      <c r="H140" s="105"/>
      <c r="I140" s="104"/>
      <c r="J140" s="104"/>
      <c r="K140" s="118">
        <v>1</v>
      </c>
      <c r="L140" s="118" t="s">
        <v>84</v>
      </c>
      <c r="M140" s="119">
        <v>1</v>
      </c>
      <c r="N140" s="104" t="s">
        <v>39</v>
      </c>
      <c r="O140" s="120">
        <v>8</v>
      </c>
      <c r="P140" s="104" t="s">
        <v>112</v>
      </c>
      <c r="Q140" s="150">
        <f t="shared" si="17"/>
        <v>8</v>
      </c>
      <c r="R140" s="148">
        <v>1</v>
      </c>
      <c r="S140" s="150">
        <f t="shared" si="18"/>
        <v>9</v>
      </c>
      <c r="T140" s="149" t="s">
        <v>48</v>
      </c>
    </row>
    <row r="141" spans="2:20" ht="20.25" customHeight="1">
      <c r="C141" s="96"/>
      <c r="D141" s="102">
        <f t="shared" si="29"/>
        <v>141</v>
      </c>
      <c r="E141" s="106" t="s">
        <v>153</v>
      </c>
      <c r="F141" s="108">
        <f t="shared" si="16"/>
        <v>140</v>
      </c>
      <c r="G141" s="105" t="s">
        <v>115</v>
      </c>
      <c r="H141" s="105"/>
      <c r="I141" s="104">
        <v>18</v>
      </c>
      <c r="J141" s="104"/>
      <c r="K141" s="118">
        <v>1</v>
      </c>
      <c r="L141" s="118" t="s">
        <v>84</v>
      </c>
      <c r="M141" s="142">
        <v>4</v>
      </c>
      <c r="N141" s="104" t="s">
        <v>39</v>
      </c>
      <c r="O141" s="130">
        <f>VLOOKUP(I141,BM!$B$3:$Y$62,22,FALSE)</f>
        <v>3.4</v>
      </c>
      <c r="P141" s="104" t="s">
        <v>112</v>
      </c>
      <c r="Q141" s="150">
        <f t="shared" si="17"/>
        <v>13.6</v>
      </c>
      <c r="R141" s="148">
        <v>1</v>
      </c>
      <c r="S141" s="150">
        <f t="shared" si="18"/>
        <v>14.6</v>
      </c>
      <c r="T141" s="149" t="s">
        <v>48</v>
      </c>
    </row>
    <row r="142" spans="2:20" ht="20.25" customHeight="1">
      <c r="C142" s="96"/>
      <c r="D142" s="102">
        <f t="shared" si="29"/>
        <v>142</v>
      </c>
      <c r="E142" s="106" t="s">
        <v>154</v>
      </c>
      <c r="F142" s="108">
        <f t="shared" si="16"/>
        <v>141</v>
      </c>
      <c r="G142" s="105" t="s">
        <v>748</v>
      </c>
      <c r="H142" s="105"/>
      <c r="I142" s="104"/>
      <c r="J142" s="104"/>
      <c r="K142" s="118">
        <v>1</v>
      </c>
      <c r="L142" s="118" t="s">
        <v>84</v>
      </c>
      <c r="M142" s="119">
        <v>1</v>
      </c>
      <c r="N142" s="104" t="s">
        <v>39</v>
      </c>
      <c r="O142" s="120">
        <v>8</v>
      </c>
      <c r="P142" s="104" t="s">
        <v>112</v>
      </c>
      <c r="Q142" s="150">
        <f t="shared" si="17"/>
        <v>8</v>
      </c>
      <c r="R142" s="148">
        <v>1</v>
      </c>
      <c r="S142" s="150">
        <f t="shared" si="18"/>
        <v>9</v>
      </c>
      <c r="T142" s="149" t="s">
        <v>48</v>
      </c>
    </row>
    <row r="143" spans="2:20" ht="20.25" customHeight="1">
      <c r="C143" s="96"/>
      <c r="D143" s="102">
        <f t="shared" si="29"/>
        <v>143</v>
      </c>
      <c r="E143" s="106" t="s">
        <v>155</v>
      </c>
      <c r="F143" s="108">
        <f t="shared" si="16"/>
        <v>142</v>
      </c>
      <c r="G143" s="105" t="s">
        <v>156</v>
      </c>
      <c r="H143" s="105"/>
      <c r="I143" s="104">
        <v>18</v>
      </c>
      <c r="J143" s="104"/>
      <c r="K143" s="118">
        <v>1</v>
      </c>
      <c r="L143" s="118" t="s">
        <v>84</v>
      </c>
      <c r="M143" s="142">
        <v>24.8</v>
      </c>
      <c r="N143" s="104" t="s">
        <v>39</v>
      </c>
      <c r="O143" s="130">
        <f>VLOOKUP(I143,BM!$B$3:$Y$62,22,FALSE)</f>
        <v>3.4</v>
      </c>
      <c r="P143" s="104" t="s">
        <v>112</v>
      </c>
      <c r="Q143" s="150">
        <f t="shared" si="17"/>
        <v>84.32</v>
      </c>
      <c r="R143" s="148">
        <v>1</v>
      </c>
      <c r="S143" s="150">
        <f t="shared" si="18"/>
        <v>85.32</v>
      </c>
      <c r="T143" s="149" t="s">
        <v>48</v>
      </c>
    </row>
    <row r="144" spans="2:20" ht="20.25" customHeight="1">
      <c r="B144" s="111"/>
      <c r="C144" s="96">
        <f>D144</f>
        <v>144</v>
      </c>
      <c r="D144" s="102">
        <f t="shared" si="29"/>
        <v>144</v>
      </c>
      <c r="E144" s="103" t="s">
        <v>157</v>
      </c>
      <c r="F144" s="108">
        <f>D139</f>
        <v>139</v>
      </c>
      <c r="G144" s="105"/>
      <c r="H144" s="105"/>
      <c r="I144" s="104"/>
      <c r="J144" s="104"/>
      <c r="K144" s="118"/>
      <c r="L144" s="118"/>
      <c r="M144" s="119"/>
      <c r="N144" s="104"/>
      <c r="O144" s="120"/>
      <c r="P144" s="104"/>
      <c r="Q144" s="150"/>
      <c r="R144" s="148"/>
      <c r="S144" s="150"/>
      <c r="T144" s="149"/>
    </row>
    <row r="145" spans="2:20" ht="20.25" customHeight="1">
      <c r="C145" s="96"/>
      <c r="D145" s="102">
        <f t="shared" si="29"/>
        <v>145</v>
      </c>
      <c r="E145" s="106" t="s">
        <v>158</v>
      </c>
      <c r="F145" s="108">
        <f t="shared" si="16"/>
        <v>144</v>
      </c>
      <c r="G145" s="105" t="s">
        <v>159</v>
      </c>
      <c r="H145" s="105"/>
      <c r="I145" s="104"/>
      <c r="J145" s="104"/>
      <c r="K145" s="118">
        <v>1</v>
      </c>
      <c r="L145" s="118" t="s">
        <v>160</v>
      </c>
      <c r="M145" s="119">
        <v>1</v>
      </c>
      <c r="N145" s="104" t="s">
        <v>160</v>
      </c>
      <c r="O145" s="120">
        <v>4</v>
      </c>
      <c r="P145" s="104" t="s">
        <v>41</v>
      </c>
      <c r="Q145" s="150">
        <f t="shared" si="17"/>
        <v>4</v>
      </c>
      <c r="R145" s="148"/>
      <c r="S145" s="150">
        <f t="shared" si="18"/>
        <v>4</v>
      </c>
      <c r="T145" s="149" t="s">
        <v>42</v>
      </c>
    </row>
    <row r="146" spans="2:20" ht="20.25" customHeight="1">
      <c r="C146" s="96"/>
      <c r="D146" s="102">
        <f t="shared" si="29"/>
        <v>146</v>
      </c>
      <c r="E146" s="106" t="s">
        <v>161</v>
      </c>
      <c r="F146" s="108">
        <f t="shared" si="16"/>
        <v>145</v>
      </c>
      <c r="G146" s="105" t="s">
        <v>44</v>
      </c>
      <c r="H146" s="105"/>
      <c r="I146" s="104"/>
      <c r="J146" s="104"/>
      <c r="K146" s="118">
        <v>6</v>
      </c>
      <c r="L146" s="118" t="s">
        <v>81</v>
      </c>
      <c r="M146" s="119">
        <v>6</v>
      </c>
      <c r="N146" s="104" t="s">
        <v>81</v>
      </c>
      <c r="O146" s="120">
        <v>0.5</v>
      </c>
      <c r="P146" s="104" t="s">
        <v>162</v>
      </c>
      <c r="Q146" s="150">
        <f t="shared" si="17"/>
        <v>3</v>
      </c>
      <c r="R146" s="148"/>
      <c r="S146" s="150">
        <f t="shared" si="18"/>
        <v>3</v>
      </c>
      <c r="T146" s="149" t="s">
        <v>48</v>
      </c>
    </row>
    <row r="147" spans="2:20" ht="20.25" customHeight="1">
      <c r="C147" s="96"/>
      <c r="D147" s="102">
        <f t="shared" si="29"/>
        <v>147</v>
      </c>
      <c r="E147" s="106" t="s">
        <v>163</v>
      </c>
      <c r="F147" s="108">
        <f t="shared" si="16"/>
        <v>146</v>
      </c>
      <c r="G147" s="105" t="s">
        <v>44</v>
      </c>
      <c r="H147" s="105"/>
      <c r="I147" s="104">
        <v>16</v>
      </c>
      <c r="J147" s="104"/>
      <c r="K147" s="118">
        <v>4</v>
      </c>
      <c r="L147" s="118" t="s">
        <v>81</v>
      </c>
      <c r="M147" s="142">
        <f>K147</f>
        <v>4</v>
      </c>
      <c r="N147" s="104" t="s">
        <v>81</v>
      </c>
      <c r="O147" s="120">
        <v>0.5</v>
      </c>
      <c r="P147" s="104" t="s">
        <v>162</v>
      </c>
      <c r="Q147" s="150">
        <f t="shared" si="17"/>
        <v>2</v>
      </c>
      <c r="R147" s="148"/>
      <c r="S147" s="150">
        <f t="shared" si="18"/>
        <v>2</v>
      </c>
      <c r="T147" s="149" t="s">
        <v>48</v>
      </c>
    </row>
    <row r="148" spans="2:20" ht="20.25" customHeight="1">
      <c r="C148" s="96"/>
      <c r="D148" s="102">
        <f t="shared" si="29"/>
        <v>148</v>
      </c>
      <c r="E148" s="106" t="s">
        <v>164</v>
      </c>
      <c r="F148" s="108">
        <f t="shared" si="16"/>
        <v>147</v>
      </c>
      <c r="G148" s="105" t="s">
        <v>44</v>
      </c>
      <c r="H148" s="105"/>
      <c r="I148" s="104">
        <v>16</v>
      </c>
      <c r="J148" s="104"/>
      <c r="K148" s="118">
        <v>4</v>
      </c>
      <c r="L148" s="118" t="s">
        <v>81</v>
      </c>
      <c r="M148" s="142">
        <f>K148</f>
        <v>4</v>
      </c>
      <c r="N148" s="104" t="s">
        <v>81</v>
      </c>
      <c r="O148" s="120">
        <v>0.5</v>
      </c>
      <c r="P148" s="104" t="s">
        <v>162</v>
      </c>
      <c r="Q148" s="150">
        <f t="shared" si="17"/>
        <v>2</v>
      </c>
      <c r="R148" s="148"/>
      <c r="S148" s="150">
        <f t="shared" si="18"/>
        <v>2</v>
      </c>
      <c r="T148" s="149" t="s">
        <v>48</v>
      </c>
    </row>
    <row r="149" spans="2:20" ht="20.25" customHeight="1">
      <c r="C149" s="96"/>
      <c r="D149" s="102">
        <f t="shared" si="29"/>
        <v>149</v>
      </c>
      <c r="E149" s="106" t="s">
        <v>165</v>
      </c>
      <c r="F149" s="108">
        <f t="shared" si="16"/>
        <v>148</v>
      </c>
      <c r="G149" s="105" t="s">
        <v>44</v>
      </c>
      <c r="H149" s="105"/>
      <c r="I149" s="104">
        <v>30</v>
      </c>
      <c r="J149" s="104"/>
      <c r="K149" s="118">
        <v>2</v>
      </c>
      <c r="L149" s="118" t="s">
        <v>81</v>
      </c>
      <c r="M149" s="142">
        <f>K149</f>
        <v>2</v>
      </c>
      <c r="N149" s="104" t="s">
        <v>81</v>
      </c>
      <c r="O149" s="120">
        <v>0.5</v>
      </c>
      <c r="P149" s="104" t="s">
        <v>162</v>
      </c>
      <c r="Q149" s="150">
        <f t="shared" si="17"/>
        <v>1</v>
      </c>
      <c r="R149" s="148"/>
      <c r="S149" s="150">
        <f t="shared" si="18"/>
        <v>1</v>
      </c>
      <c r="T149" s="149" t="s">
        <v>48</v>
      </c>
    </row>
    <row r="150" spans="2:20" ht="20.25" customHeight="1">
      <c r="C150" s="96"/>
      <c r="D150" s="102">
        <f t="shared" si="29"/>
        <v>150</v>
      </c>
      <c r="E150" s="106" t="s">
        <v>166</v>
      </c>
      <c r="F150" s="108">
        <f t="shared" si="16"/>
        <v>149</v>
      </c>
      <c r="G150" s="105" t="s">
        <v>52</v>
      </c>
      <c r="H150" s="105"/>
      <c r="I150" s="104"/>
      <c r="J150" s="104"/>
      <c r="K150" s="118">
        <v>6</v>
      </c>
      <c r="L150" s="118" t="s">
        <v>81</v>
      </c>
      <c r="M150" s="142">
        <f>K150</f>
        <v>6</v>
      </c>
      <c r="N150" s="104" t="s">
        <v>81</v>
      </c>
      <c r="O150" s="120">
        <v>0.5</v>
      </c>
      <c r="P150" s="104" t="s">
        <v>162</v>
      </c>
      <c r="Q150" s="150">
        <f t="shared" si="17"/>
        <v>3</v>
      </c>
      <c r="R150" s="148"/>
      <c r="S150" s="150">
        <f t="shared" si="18"/>
        <v>3</v>
      </c>
      <c r="T150" s="149" t="s">
        <v>48</v>
      </c>
    </row>
    <row r="151" spans="2:20" ht="20.25" customHeight="1">
      <c r="C151" s="96"/>
      <c r="D151" s="102">
        <f t="shared" si="29"/>
        <v>151</v>
      </c>
      <c r="E151" s="106" t="s">
        <v>167</v>
      </c>
      <c r="F151" s="108">
        <f t="shared" si="16"/>
        <v>150</v>
      </c>
      <c r="G151" s="105" t="s">
        <v>52</v>
      </c>
      <c r="H151" s="105"/>
      <c r="I151" s="104"/>
      <c r="J151" s="104"/>
      <c r="K151" s="118">
        <v>4</v>
      </c>
      <c r="L151" s="118" t="s">
        <v>81</v>
      </c>
      <c r="M151" s="142">
        <f t="shared" ref="M151:M158" si="33">K151</f>
        <v>4</v>
      </c>
      <c r="N151" s="104" t="s">
        <v>81</v>
      </c>
      <c r="O151" s="120">
        <v>0.5</v>
      </c>
      <c r="P151" s="104" t="s">
        <v>162</v>
      </c>
      <c r="Q151" s="150">
        <f t="shared" si="17"/>
        <v>2</v>
      </c>
      <c r="R151" s="148"/>
      <c r="S151" s="150">
        <f t="shared" si="18"/>
        <v>2</v>
      </c>
      <c r="T151" s="149" t="s">
        <v>48</v>
      </c>
    </row>
    <row r="152" spans="2:20" ht="20.25" customHeight="1">
      <c r="C152" s="96"/>
      <c r="D152" s="102">
        <f t="shared" si="29"/>
        <v>152</v>
      </c>
      <c r="E152" s="106" t="s">
        <v>168</v>
      </c>
      <c r="F152" s="108">
        <f t="shared" si="16"/>
        <v>151</v>
      </c>
      <c r="G152" s="105" t="s">
        <v>44</v>
      </c>
      <c r="H152" s="105"/>
      <c r="I152" s="104"/>
      <c r="J152" s="104"/>
      <c r="K152" s="118">
        <v>6</v>
      </c>
      <c r="L152" s="118" t="s">
        <v>81</v>
      </c>
      <c r="M152" s="142">
        <f t="shared" si="33"/>
        <v>6</v>
      </c>
      <c r="N152" s="104" t="s">
        <v>81</v>
      </c>
      <c r="O152" s="120">
        <v>0.5</v>
      </c>
      <c r="P152" s="104" t="s">
        <v>162</v>
      </c>
      <c r="Q152" s="150">
        <f t="shared" si="17"/>
        <v>3</v>
      </c>
      <c r="R152" s="148"/>
      <c r="S152" s="150">
        <f t="shared" si="18"/>
        <v>3</v>
      </c>
      <c r="T152" s="149" t="s">
        <v>48</v>
      </c>
    </row>
    <row r="153" spans="2:20" ht="20.25" customHeight="1">
      <c r="C153" s="96"/>
      <c r="D153" s="102">
        <f t="shared" si="29"/>
        <v>153</v>
      </c>
      <c r="E153" s="106" t="s">
        <v>169</v>
      </c>
      <c r="F153" s="108">
        <f t="shared" si="16"/>
        <v>152</v>
      </c>
      <c r="G153" s="105" t="s">
        <v>61</v>
      </c>
      <c r="H153" s="105"/>
      <c r="I153" s="104"/>
      <c r="J153" s="104"/>
      <c r="K153" s="118">
        <v>10</v>
      </c>
      <c r="L153" s="118" t="s">
        <v>81</v>
      </c>
      <c r="M153" s="142">
        <f t="shared" si="33"/>
        <v>10</v>
      </c>
      <c r="N153" s="104" t="s">
        <v>81</v>
      </c>
      <c r="O153" s="120">
        <v>0.5</v>
      </c>
      <c r="P153" s="104" t="s">
        <v>162</v>
      </c>
      <c r="Q153" s="150">
        <f t="shared" si="17"/>
        <v>5</v>
      </c>
      <c r="R153" s="148"/>
      <c r="S153" s="150">
        <f t="shared" si="18"/>
        <v>5</v>
      </c>
      <c r="T153" s="149" t="s">
        <v>48</v>
      </c>
    </row>
    <row r="154" spans="2:20" ht="20.25" customHeight="1">
      <c r="C154" s="96"/>
      <c r="D154" s="102">
        <f t="shared" si="29"/>
        <v>154</v>
      </c>
      <c r="E154" s="106" t="s">
        <v>170</v>
      </c>
      <c r="F154" s="108">
        <f t="shared" si="16"/>
        <v>153</v>
      </c>
      <c r="G154" s="105" t="s">
        <v>61</v>
      </c>
      <c r="H154" s="105"/>
      <c r="I154" s="104"/>
      <c r="J154" s="104"/>
      <c r="K154" s="118">
        <v>2</v>
      </c>
      <c r="L154" s="118" t="s">
        <v>81</v>
      </c>
      <c r="M154" s="142">
        <f t="shared" si="33"/>
        <v>2</v>
      </c>
      <c r="N154" s="104" t="s">
        <v>81</v>
      </c>
      <c r="O154" s="120">
        <v>0.5</v>
      </c>
      <c r="P154" s="104" t="s">
        <v>162</v>
      </c>
      <c r="Q154" s="150">
        <f t="shared" si="17"/>
        <v>1</v>
      </c>
      <c r="R154" s="148"/>
      <c r="S154" s="150">
        <f t="shared" si="18"/>
        <v>1</v>
      </c>
      <c r="T154" s="149" t="s">
        <v>48</v>
      </c>
    </row>
    <row r="155" spans="2:20" ht="20.25" customHeight="1">
      <c r="C155" s="96"/>
      <c r="D155" s="102">
        <f t="shared" si="29"/>
        <v>155</v>
      </c>
      <c r="E155" s="106" t="s">
        <v>171</v>
      </c>
      <c r="F155" s="108">
        <f t="shared" si="16"/>
        <v>154</v>
      </c>
      <c r="G155" s="105" t="s">
        <v>172</v>
      </c>
      <c r="H155" s="105"/>
      <c r="I155" s="104"/>
      <c r="J155" s="104"/>
      <c r="K155" s="118">
        <v>2</v>
      </c>
      <c r="L155" s="118" t="s">
        <v>81</v>
      </c>
      <c r="M155" s="142">
        <f t="shared" si="33"/>
        <v>2</v>
      </c>
      <c r="N155" s="104" t="s">
        <v>81</v>
      </c>
      <c r="O155" s="120">
        <v>0.5</v>
      </c>
      <c r="P155" s="104" t="s">
        <v>162</v>
      </c>
      <c r="Q155" s="150">
        <f t="shared" si="17"/>
        <v>1</v>
      </c>
      <c r="R155" s="148"/>
      <c r="S155" s="150">
        <f t="shared" si="18"/>
        <v>1</v>
      </c>
      <c r="T155" s="149" t="s">
        <v>48</v>
      </c>
    </row>
    <row r="156" spans="2:20" ht="20.25" customHeight="1">
      <c r="C156" s="96"/>
      <c r="D156" s="102">
        <f t="shared" si="29"/>
        <v>156</v>
      </c>
      <c r="E156" s="106" t="s">
        <v>173</v>
      </c>
      <c r="F156" s="108">
        <f t="shared" si="16"/>
        <v>155</v>
      </c>
      <c r="G156" s="105" t="s">
        <v>115</v>
      </c>
      <c r="H156" s="105"/>
      <c r="I156" s="104"/>
      <c r="J156" s="104"/>
      <c r="K156" s="118">
        <v>2</v>
      </c>
      <c r="L156" s="118" t="s">
        <v>81</v>
      </c>
      <c r="M156" s="142">
        <f t="shared" si="33"/>
        <v>2</v>
      </c>
      <c r="N156" s="104" t="s">
        <v>81</v>
      </c>
      <c r="O156" s="120">
        <v>0.5</v>
      </c>
      <c r="P156" s="104" t="s">
        <v>162</v>
      </c>
      <c r="Q156" s="150">
        <f t="shared" ref="Q156:Q219" si="34">M156*O156</f>
        <v>1</v>
      </c>
      <c r="R156" s="148"/>
      <c r="S156" s="150">
        <f t="shared" ref="S156:S219" si="35">Q156+R156</f>
        <v>1</v>
      </c>
      <c r="T156" s="149" t="s">
        <v>48</v>
      </c>
    </row>
    <row r="157" spans="2:20" ht="20.25" customHeight="1">
      <c r="C157" s="96"/>
      <c r="D157" s="102">
        <f t="shared" si="29"/>
        <v>157</v>
      </c>
      <c r="E157" s="106" t="s">
        <v>174</v>
      </c>
      <c r="F157" s="108">
        <f t="shared" ref="F157:F220" si="36">D156</f>
        <v>156</v>
      </c>
      <c r="G157" s="105" t="s">
        <v>115</v>
      </c>
      <c r="H157" s="105"/>
      <c r="I157" s="104"/>
      <c r="J157" s="104"/>
      <c r="K157" s="118">
        <v>2</v>
      </c>
      <c r="L157" s="118" t="s">
        <v>81</v>
      </c>
      <c r="M157" s="142">
        <f t="shared" si="33"/>
        <v>2</v>
      </c>
      <c r="N157" s="104" t="s">
        <v>81</v>
      </c>
      <c r="O157" s="120">
        <v>0.5</v>
      </c>
      <c r="P157" s="104" t="s">
        <v>162</v>
      </c>
      <c r="Q157" s="150">
        <f t="shared" si="34"/>
        <v>1</v>
      </c>
      <c r="R157" s="148"/>
      <c r="S157" s="150">
        <f t="shared" si="35"/>
        <v>1</v>
      </c>
      <c r="T157" s="149" t="s">
        <v>48</v>
      </c>
    </row>
    <row r="158" spans="2:20" ht="20.25" customHeight="1">
      <c r="C158" s="96"/>
      <c r="D158" s="102">
        <f t="shared" si="29"/>
        <v>158</v>
      </c>
      <c r="E158" s="106" t="s">
        <v>175</v>
      </c>
      <c r="F158" s="108">
        <f t="shared" si="36"/>
        <v>157</v>
      </c>
      <c r="G158" s="105" t="s">
        <v>44</v>
      </c>
      <c r="H158" s="105"/>
      <c r="I158" s="104"/>
      <c r="J158" s="104"/>
      <c r="K158" s="118">
        <v>4</v>
      </c>
      <c r="L158" s="118" t="s">
        <v>81</v>
      </c>
      <c r="M158" s="142">
        <f t="shared" si="33"/>
        <v>4</v>
      </c>
      <c r="N158" s="104" t="s">
        <v>81</v>
      </c>
      <c r="O158" s="120">
        <v>0.5</v>
      </c>
      <c r="P158" s="104" t="s">
        <v>162</v>
      </c>
      <c r="Q158" s="150">
        <f t="shared" si="34"/>
        <v>2</v>
      </c>
      <c r="R158" s="148"/>
      <c r="S158" s="150">
        <f t="shared" si="35"/>
        <v>2</v>
      </c>
      <c r="T158" s="149" t="s">
        <v>48</v>
      </c>
    </row>
    <row r="159" spans="2:20" ht="20.25" customHeight="1">
      <c r="B159" s="111"/>
      <c r="C159" s="96">
        <f>D159</f>
        <v>159</v>
      </c>
      <c r="D159" s="102">
        <f t="shared" si="29"/>
        <v>159</v>
      </c>
      <c r="E159" s="103" t="s">
        <v>176</v>
      </c>
      <c r="F159" s="108">
        <f>D144</f>
        <v>144</v>
      </c>
      <c r="G159" s="105"/>
      <c r="H159" s="105"/>
      <c r="I159" s="104"/>
      <c r="J159" s="104"/>
      <c r="K159" s="118"/>
      <c r="L159" s="118"/>
      <c r="M159" s="119"/>
      <c r="N159" s="104"/>
      <c r="O159" s="120"/>
      <c r="P159" s="104"/>
      <c r="Q159" s="150"/>
      <c r="R159" s="148"/>
      <c r="S159" s="150"/>
      <c r="T159" s="149"/>
    </row>
    <row r="160" spans="2:20" ht="20.25" customHeight="1">
      <c r="C160" s="96"/>
      <c r="D160" s="102">
        <f t="shared" si="29"/>
        <v>160</v>
      </c>
      <c r="E160" s="106" t="s">
        <v>135</v>
      </c>
      <c r="F160" s="108">
        <f t="shared" si="36"/>
        <v>159</v>
      </c>
      <c r="G160" s="105"/>
      <c r="H160" s="105"/>
      <c r="I160" s="104"/>
      <c r="J160" s="104"/>
      <c r="K160" s="118">
        <v>1</v>
      </c>
      <c r="L160" s="118" t="s">
        <v>160</v>
      </c>
      <c r="M160" s="119">
        <v>1</v>
      </c>
      <c r="N160" s="104" t="s">
        <v>160</v>
      </c>
      <c r="O160" s="120">
        <v>4</v>
      </c>
      <c r="P160" s="104" t="s">
        <v>177</v>
      </c>
      <c r="Q160" s="150">
        <f t="shared" si="34"/>
        <v>4</v>
      </c>
      <c r="R160" s="148"/>
      <c r="S160" s="150">
        <f t="shared" si="35"/>
        <v>4</v>
      </c>
      <c r="T160" s="149" t="s">
        <v>42</v>
      </c>
    </row>
    <row r="161" spans="2:20" ht="20.25" customHeight="1">
      <c r="C161" s="96"/>
      <c r="D161" s="102">
        <f t="shared" si="29"/>
        <v>161</v>
      </c>
      <c r="E161" s="106" t="s">
        <v>178</v>
      </c>
      <c r="F161" s="108">
        <f t="shared" si="36"/>
        <v>160</v>
      </c>
      <c r="G161" s="105" t="s">
        <v>44</v>
      </c>
      <c r="H161" s="105"/>
      <c r="I161" s="104">
        <v>18</v>
      </c>
      <c r="J161" s="104"/>
      <c r="K161" s="118">
        <v>4</v>
      </c>
      <c r="L161" s="118" t="s">
        <v>81</v>
      </c>
      <c r="M161" s="142">
        <f t="shared" ref="M161:M163" si="37">K161</f>
        <v>4</v>
      </c>
      <c r="N161" s="104" t="s">
        <v>81</v>
      </c>
      <c r="O161" s="120">
        <v>0.5</v>
      </c>
      <c r="P161" s="104" t="s">
        <v>162</v>
      </c>
      <c r="Q161" s="150">
        <f t="shared" si="34"/>
        <v>2</v>
      </c>
      <c r="R161" s="148"/>
      <c r="S161" s="150">
        <f t="shared" si="35"/>
        <v>2</v>
      </c>
      <c r="T161" s="149" t="s">
        <v>48</v>
      </c>
    </row>
    <row r="162" spans="2:20" ht="20.25" customHeight="1">
      <c r="C162" s="96"/>
      <c r="D162" s="102">
        <f t="shared" si="29"/>
        <v>162</v>
      </c>
      <c r="E162" s="106" t="s">
        <v>179</v>
      </c>
      <c r="F162" s="108">
        <f t="shared" si="36"/>
        <v>161</v>
      </c>
      <c r="G162" s="105" t="s">
        <v>52</v>
      </c>
      <c r="H162" s="105"/>
      <c r="I162" s="104"/>
      <c r="J162" s="104"/>
      <c r="K162" s="118">
        <v>4</v>
      </c>
      <c r="L162" s="118" t="s">
        <v>81</v>
      </c>
      <c r="M162" s="142">
        <f t="shared" si="37"/>
        <v>4</v>
      </c>
      <c r="N162" s="104" t="s">
        <v>81</v>
      </c>
      <c r="O162" s="120">
        <v>0.5</v>
      </c>
      <c r="P162" s="104" t="s">
        <v>162</v>
      </c>
      <c r="Q162" s="150">
        <f t="shared" si="34"/>
        <v>2</v>
      </c>
      <c r="R162" s="148"/>
      <c r="S162" s="150">
        <f t="shared" si="35"/>
        <v>2</v>
      </c>
      <c r="T162" s="149" t="s">
        <v>48</v>
      </c>
    </row>
    <row r="163" spans="2:20" ht="20.25" customHeight="1">
      <c r="C163" s="96"/>
      <c r="D163" s="102">
        <f t="shared" si="29"/>
        <v>163</v>
      </c>
      <c r="E163" s="106" t="s">
        <v>180</v>
      </c>
      <c r="F163" s="108">
        <f t="shared" si="36"/>
        <v>162</v>
      </c>
      <c r="G163" s="105" t="s">
        <v>121</v>
      </c>
      <c r="H163" s="105"/>
      <c r="I163" s="104"/>
      <c r="J163" s="104"/>
      <c r="K163" s="118">
        <v>4</v>
      </c>
      <c r="L163" s="118" t="s">
        <v>81</v>
      </c>
      <c r="M163" s="142">
        <f t="shared" si="37"/>
        <v>4</v>
      </c>
      <c r="N163" s="104" t="s">
        <v>81</v>
      </c>
      <c r="O163" s="120">
        <v>0.5</v>
      </c>
      <c r="P163" s="104" t="s">
        <v>162</v>
      </c>
      <c r="Q163" s="150">
        <f t="shared" si="34"/>
        <v>2</v>
      </c>
      <c r="R163" s="148"/>
      <c r="S163" s="150">
        <f t="shared" si="35"/>
        <v>2</v>
      </c>
      <c r="T163" s="149" t="s">
        <v>48</v>
      </c>
    </row>
    <row r="164" spans="2:20" ht="20.25" customHeight="1">
      <c r="B164" s="111"/>
      <c r="C164" s="96">
        <f>D164</f>
        <v>164</v>
      </c>
      <c r="D164" s="102">
        <f t="shared" si="29"/>
        <v>164</v>
      </c>
      <c r="E164" s="103" t="s">
        <v>181</v>
      </c>
      <c r="F164" s="108">
        <f>D159</f>
        <v>159</v>
      </c>
      <c r="G164" s="105"/>
      <c r="H164" s="105"/>
      <c r="I164" s="104"/>
      <c r="J164" s="104"/>
      <c r="K164" s="118"/>
      <c r="L164" s="118"/>
      <c r="M164" s="119"/>
      <c r="N164" s="104"/>
      <c r="O164" s="120"/>
      <c r="P164" s="104"/>
      <c r="Q164" s="150"/>
      <c r="R164" s="148"/>
      <c r="S164" s="150"/>
      <c r="T164" s="149"/>
    </row>
    <row r="165" spans="2:20" ht="20.25" customHeight="1">
      <c r="C165" s="96"/>
      <c r="D165" s="102">
        <f t="shared" si="29"/>
        <v>165</v>
      </c>
      <c r="E165" s="106" t="s">
        <v>182</v>
      </c>
      <c r="F165" s="108">
        <f t="shared" si="36"/>
        <v>164</v>
      </c>
      <c r="G165" s="105" t="s">
        <v>44</v>
      </c>
      <c r="H165" s="105"/>
      <c r="I165" s="104">
        <v>24</v>
      </c>
      <c r="J165" s="104"/>
      <c r="K165" s="118">
        <v>1</v>
      </c>
      <c r="L165" s="118" t="s">
        <v>160</v>
      </c>
      <c r="M165" s="119">
        <v>1</v>
      </c>
      <c r="N165" s="104" t="s">
        <v>160</v>
      </c>
      <c r="O165" s="120">
        <v>4</v>
      </c>
      <c r="P165" s="104" t="s">
        <v>177</v>
      </c>
      <c r="Q165" s="150">
        <f t="shared" si="34"/>
        <v>4</v>
      </c>
      <c r="R165" s="148"/>
      <c r="S165" s="150">
        <f t="shared" si="35"/>
        <v>4</v>
      </c>
      <c r="T165" s="149" t="s">
        <v>42</v>
      </c>
    </row>
    <row r="166" spans="2:20" ht="20.25" customHeight="1">
      <c r="C166" s="96"/>
      <c r="D166" s="102">
        <f t="shared" si="29"/>
        <v>166</v>
      </c>
      <c r="E166" s="106" t="s">
        <v>183</v>
      </c>
      <c r="F166" s="108">
        <f t="shared" si="36"/>
        <v>165</v>
      </c>
      <c r="G166" s="105" t="s">
        <v>52</v>
      </c>
      <c r="H166" s="105"/>
      <c r="I166" s="104"/>
      <c r="J166" s="104"/>
      <c r="K166" s="118">
        <v>4</v>
      </c>
      <c r="L166" s="118" t="s">
        <v>81</v>
      </c>
      <c r="M166" s="142">
        <f t="shared" ref="M166:M168" si="38">K166</f>
        <v>4</v>
      </c>
      <c r="N166" s="104" t="s">
        <v>81</v>
      </c>
      <c r="O166" s="120">
        <v>0.5</v>
      </c>
      <c r="P166" s="104" t="s">
        <v>162</v>
      </c>
      <c r="Q166" s="150">
        <f t="shared" si="34"/>
        <v>2</v>
      </c>
      <c r="R166" s="148"/>
      <c r="S166" s="150">
        <f t="shared" si="35"/>
        <v>2</v>
      </c>
      <c r="T166" s="149" t="s">
        <v>48</v>
      </c>
    </row>
    <row r="167" spans="2:20" ht="20.25" customHeight="1">
      <c r="C167" s="96"/>
      <c r="D167" s="102">
        <f t="shared" si="29"/>
        <v>167</v>
      </c>
      <c r="E167" s="106" t="s">
        <v>184</v>
      </c>
      <c r="F167" s="108">
        <f t="shared" si="36"/>
        <v>166</v>
      </c>
      <c r="G167" s="105" t="s">
        <v>121</v>
      </c>
      <c r="H167" s="105"/>
      <c r="I167" s="104"/>
      <c r="J167" s="104"/>
      <c r="K167" s="118">
        <v>4</v>
      </c>
      <c r="L167" s="118" t="s">
        <v>81</v>
      </c>
      <c r="M167" s="142">
        <f t="shared" si="38"/>
        <v>4</v>
      </c>
      <c r="N167" s="104" t="s">
        <v>81</v>
      </c>
      <c r="O167" s="120">
        <v>0.5</v>
      </c>
      <c r="P167" s="104" t="s">
        <v>162</v>
      </c>
      <c r="Q167" s="150">
        <f t="shared" si="34"/>
        <v>2</v>
      </c>
      <c r="R167" s="148"/>
      <c r="S167" s="150">
        <f t="shared" si="35"/>
        <v>2</v>
      </c>
      <c r="T167" s="149" t="s">
        <v>48</v>
      </c>
    </row>
    <row r="168" spans="2:20" ht="20.25" customHeight="1">
      <c r="C168" s="96"/>
      <c r="D168" s="102">
        <f t="shared" si="29"/>
        <v>168</v>
      </c>
      <c r="E168" s="106" t="s">
        <v>185</v>
      </c>
      <c r="F168" s="108">
        <f t="shared" si="36"/>
        <v>167</v>
      </c>
      <c r="G168" s="105" t="s">
        <v>44</v>
      </c>
      <c r="H168" s="105"/>
      <c r="I168" s="104"/>
      <c r="J168" s="104"/>
      <c r="K168" s="118">
        <v>4</v>
      </c>
      <c r="L168" s="118" t="s">
        <v>81</v>
      </c>
      <c r="M168" s="142">
        <f t="shared" si="38"/>
        <v>4</v>
      </c>
      <c r="N168" s="104" t="s">
        <v>81</v>
      </c>
      <c r="O168" s="120">
        <v>0.5</v>
      </c>
      <c r="P168" s="104" t="s">
        <v>162</v>
      </c>
      <c r="Q168" s="150">
        <f t="shared" si="34"/>
        <v>2</v>
      </c>
      <c r="R168" s="148"/>
      <c r="S168" s="150">
        <f t="shared" si="35"/>
        <v>2</v>
      </c>
      <c r="T168" s="149" t="s">
        <v>48</v>
      </c>
    </row>
    <row r="169" spans="2:20" ht="20.25" customHeight="1">
      <c r="B169" s="111"/>
      <c r="C169" s="96">
        <f>D169</f>
        <v>169</v>
      </c>
      <c r="D169" s="102">
        <f t="shared" si="29"/>
        <v>169</v>
      </c>
      <c r="E169" s="103" t="s">
        <v>749</v>
      </c>
      <c r="F169" s="108">
        <f>D164</f>
        <v>164</v>
      </c>
      <c r="G169" s="105"/>
      <c r="H169" s="105"/>
      <c r="I169" s="104"/>
      <c r="J169" s="104"/>
      <c r="K169" s="118"/>
      <c r="L169" s="118"/>
      <c r="M169" s="119"/>
      <c r="N169" s="104"/>
      <c r="O169" s="120"/>
      <c r="P169" s="104"/>
      <c r="Q169" s="150"/>
      <c r="R169" s="148"/>
      <c r="S169" s="150"/>
      <c r="T169" s="149"/>
    </row>
    <row r="170" spans="2:20" ht="20.25" customHeight="1">
      <c r="C170" s="96"/>
      <c r="D170" s="102">
        <f t="shared" si="29"/>
        <v>170</v>
      </c>
      <c r="E170" s="106" t="s">
        <v>187</v>
      </c>
      <c r="F170" s="108">
        <f t="shared" si="36"/>
        <v>169</v>
      </c>
      <c r="G170" s="105" t="s">
        <v>44</v>
      </c>
      <c r="H170" s="105"/>
      <c r="I170" s="104"/>
      <c r="J170" s="104"/>
      <c r="K170" s="118">
        <v>4</v>
      </c>
      <c r="L170" s="118" t="s">
        <v>81</v>
      </c>
      <c r="M170" s="142">
        <f t="shared" ref="M170:M171" si="39">K170</f>
        <v>4</v>
      </c>
      <c r="N170" s="104" t="s">
        <v>81</v>
      </c>
      <c r="O170" s="120">
        <v>1</v>
      </c>
      <c r="P170" s="104" t="s">
        <v>162</v>
      </c>
      <c r="Q170" s="150">
        <f t="shared" si="34"/>
        <v>4</v>
      </c>
      <c r="R170" s="148"/>
      <c r="S170" s="150">
        <f t="shared" si="35"/>
        <v>4</v>
      </c>
      <c r="T170" s="149" t="s">
        <v>42</v>
      </c>
    </row>
    <row r="171" spans="2:20" ht="20.25" customHeight="1">
      <c r="C171" s="96"/>
      <c r="D171" s="102">
        <f t="shared" si="29"/>
        <v>171</v>
      </c>
      <c r="E171" s="106" t="s">
        <v>188</v>
      </c>
      <c r="F171" s="108">
        <f t="shared" si="36"/>
        <v>170</v>
      </c>
      <c r="G171" s="105" t="s">
        <v>44</v>
      </c>
      <c r="H171" s="105"/>
      <c r="I171" s="104"/>
      <c r="J171" s="104"/>
      <c r="K171" s="118">
        <v>4</v>
      </c>
      <c r="L171" s="118" t="s">
        <v>81</v>
      </c>
      <c r="M171" s="142">
        <f t="shared" si="39"/>
        <v>4</v>
      </c>
      <c r="N171" s="104" t="s">
        <v>81</v>
      </c>
      <c r="O171" s="120">
        <v>1</v>
      </c>
      <c r="P171" s="104" t="s">
        <v>162</v>
      </c>
      <c r="Q171" s="150">
        <f t="shared" si="34"/>
        <v>4</v>
      </c>
      <c r="R171" s="148"/>
      <c r="S171" s="150">
        <f t="shared" si="35"/>
        <v>4</v>
      </c>
      <c r="T171" s="149" t="s">
        <v>42</v>
      </c>
    </row>
    <row r="172" spans="2:20" ht="20.25" customHeight="1">
      <c r="B172" s="111"/>
      <c r="C172" s="96">
        <f>D172</f>
        <v>172</v>
      </c>
      <c r="D172" s="102">
        <f t="shared" si="29"/>
        <v>172</v>
      </c>
      <c r="E172" s="103" t="s">
        <v>189</v>
      </c>
      <c r="F172" s="108">
        <f>D169</f>
        <v>169</v>
      </c>
      <c r="G172" s="105"/>
      <c r="H172" s="105"/>
      <c r="I172" s="104"/>
      <c r="J172" s="104"/>
      <c r="K172" s="118"/>
      <c r="L172" s="118"/>
      <c r="M172" s="119"/>
      <c r="N172" s="104"/>
      <c r="O172" s="120"/>
      <c r="P172" s="104"/>
      <c r="Q172" s="150"/>
      <c r="R172" s="148"/>
      <c r="S172" s="150"/>
      <c r="T172" s="149"/>
    </row>
    <row r="173" spans="2:20" ht="20.25" customHeight="1">
      <c r="B173" s="111"/>
      <c r="C173" s="96"/>
      <c r="D173" s="102">
        <f t="shared" si="29"/>
        <v>173</v>
      </c>
      <c r="E173" s="106" t="s">
        <v>190</v>
      </c>
      <c r="F173" s="108">
        <f t="shared" si="36"/>
        <v>172</v>
      </c>
      <c r="G173" s="105" t="s">
        <v>44</v>
      </c>
      <c r="H173" s="105"/>
      <c r="I173" s="104">
        <v>12</v>
      </c>
      <c r="J173" s="104"/>
      <c r="K173" s="118">
        <v>1</v>
      </c>
      <c r="L173" s="118" t="s">
        <v>81</v>
      </c>
      <c r="M173" s="142">
        <f t="shared" ref="M173:M176" si="40">K173</f>
        <v>1</v>
      </c>
      <c r="N173" s="104" t="s">
        <v>81</v>
      </c>
      <c r="O173" s="120">
        <v>4</v>
      </c>
      <c r="P173" s="104" t="s">
        <v>162</v>
      </c>
      <c r="Q173" s="150">
        <f t="shared" si="34"/>
        <v>4</v>
      </c>
      <c r="R173" s="148"/>
      <c r="S173" s="150">
        <f t="shared" si="35"/>
        <v>4</v>
      </c>
      <c r="T173" s="149" t="s">
        <v>48</v>
      </c>
    </row>
    <row r="174" spans="2:20" ht="20.25" customHeight="1">
      <c r="C174" s="96"/>
      <c r="D174" s="102">
        <f t="shared" si="29"/>
        <v>174</v>
      </c>
      <c r="E174" s="106" t="s">
        <v>191</v>
      </c>
      <c r="F174" s="108">
        <f t="shared" si="36"/>
        <v>173</v>
      </c>
      <c r="G174" s="105" t="s">
        <v>52</v>
      </c>
      <c r="H174" s="105"/>
      <c r="I174" s="104"/>
      <c r="J174" s="104"/>
      <c r="K174" s="118">
        <v>1</v>
      </c>
      <c r="L174" s="118" t="s">
        <v>81</v>
      </c>
      <c r="M174" s="142">
        <f t="shared" si="40"/>
        <v>1</v>
      </c>
      <c r="N174" s="104" t="s">
        <v>81</v>
      </c>
      <c r="O174" s="120">
        <v>4</v>
      </c>
      <c r="P174" s="104" t="s">
        <v>162</v>
      </c>
      <c r="Q174" s="150">
        <f t="shared" si="34"/>
        <v>4</v>
      </c>
      <c r="R174" s="148"/>
      <c r="S174" s="150">
        <f t="shared" si="35"/>
        <v>4</v>
      </c>
      <c r="T174" s="149" t="s">
        <v>48</v>
      </c>
    </row>
    <row r="175" spans="2:20" ht="20.25" customHeight="1">
      <c r="C175" s="96"/>
      <c r="D175" s="102">
        <f t="shared" si="29"/>
        <v>175</v>
      </c>
      <c r="E175" s="106" t="s">
        <v>192</v>
      </c>
      <c r="F175" s="108">
        <f t="shared" si="36"/>
        <v>174</v>
      </c>
      <c r="G175" s="105" t="s">
        <v>44</v>
      </c>
      <c r="H175" s="105"/>
      <c r="I175" s="104"/>
      <c r="J175" s="104"/>
      <c r="K175" s="118">
        <v>1</v>
      </c>
      <c r="L175" s="118" t="s">
        <v>81</v>
      </c>
      <c r="M175" s="142">
        <f t="shared" si="40"/>
        <v>1</v>
      </c>
      <c r="N175" s="104" t="s">
        <v>81</v>
      </c>
      <c r="O175" s="120">
        <v>2</v>
      </c>
      <c r="P175" s="104" t="s">
        <v>162</v>
      </c>
      <c r="Q175" s="150">
        <f t="shared" si="34"/>
        <v>2</v>
      </c>
      <c r="R175" s="148"/>
      <c r="S175" s="150">
        <f t="shared" si="35"/>
        <v>2</v>
      </c>
      <c r="T175" s="149" t="s">
        <v>48</v>
      </c>
    </row>
    <row r="176" spans="2:20" ht="20.25" customHeight="1">
      <c r="C176" s="96"/>
      <c r="D176" s="102">
        <f t="shared" si="29"/>
        <v>176</v>
      </c>
      <c r="E176" s="106" t="s">
        <v>193</v>
      </c>
      <c r="F176" s="108">
        <f t="shared" si="36"/>
        <v>175</v>
      </c>
      <c r="G176" s="105" t="s">
        <v>44</v>
      </c>
      <c r="H176" s="105"/>
      <c r="I176" s="104"/>
      <c r="J176" s="104"/>
      <c r="K176" s="118">
        <v>1</v>
      </c>
      <c r="L176" s="118" t="s">
        <v>81</v>
      </c>
      <c r="M176" s="142">
        <f t="shared" si="40"/>
        <v>1</v>
      </c>
      <c r="N176" s="104" t="s">
        <v>81</v>
      </c>
      <c r="O176" s="120">
        <v>1</v>
      </c>
      <c r="P176" s="104" t="s">
        <v>162</v>
      </c>
      <c r="Q176" s="150">
        <f t="shared" si="34"/>
        <v>1</v>
      </c>
      <c r="R176" s="148"/>
      <c r="S176" s="150">
        <f t="shared" si="35"/>
        <v>1</v>
      </c>
      <c r="T176" s="149" t="s">
        <v>48</v>
      </c>
    </row>
    <row r="177" spans="2:20" ht="20.25" customHeight="1">
      <c r="B177" s="111"/>
      <c r="C177" s="96">
        <f t="shared" ref="C177:C178" si="41">D177</f>
        <v>177</v>
      </c>
      <c r="D177" s="102">
        <f t="shared" si="29"/>
        <v>177</v>
      </c>
      <c r="E177" s="163" t="s">
        <v>194</v>
      </c>
      <c r="F177" s="108">
        <f t="shared" si="36"/>
        <v>176</v>
      </c>
      <c r="G177" s="105"/>
      <c r="H177" s="105"/>
      <c r="I177" s="104"/>
      <c r="J177" s="104"/>
      <c r="K177" s="118"/>
      <c r="L177" s="118"/>
      <c r="M177" s="119"/>
      <c r="N177" s="104"/>
      <c r="O177" s="120"/>
      <c r="P177" s="104"/>
      <c r="Q177" s="150"/>
      <c r="R177" s="148"/>
      <c r="S177" s="150"/>
      <c r="T177" s="149"/>
    </row>
    <row r="178" spans="2:20" ht="20.25" customHeight="1">
      <c r="B178" s="111"/>
      <c r="C178" s="96">
        <f t="shared" si="41"/>
        <v>178</v>
      </c>
      <c r="D178" s="102">
        <f t="shared" si="29"/>
        <v>178</v>
      </c>
      <c r="E178" s="103" t="s">
        <v>195</v>
      </c>
      <c r="F178" s="108">
        <f t="shared" si="36"/>
        <v>177</v>
      </c>
      <c r="G178" s="105"/>
      <c r="H178" s="105"/>
      <c r="I178" s="104"/>
      <c r="J178" s="104"/>
      <c r="K178" s="118"/>
      <c r="L178" s="118"/>
      <c r="M178" s="119"/>
      <c r="N178" s="104"/>
      <c r="O178" s="120"/>
      <c r="P178" s="104"/>
      <c r="Q178" s="150"/>
      <c r="R178" s="148"/>
      <c r="S178" s="150"/>
      <c r="T178" s="149"/>
    </row>
    <row r="179" spans="2:20" ht="20.25" customHeight="1">
      <c r="C179" s="96"/>
      <c r="D179" s="102">
        <f t="shared" si="29"/>
        <v>179</v>
      </c>
      <c r="E179" s="106" t="s">
        <v>196</v>
      </c>
      <c r="F179" s="108">
        <f t="shared" si="36"/>
        <v>178</v>
      </c>
      <c r="G179" s="105"/>
      <c r="H179" s="105"/>
      <c r="I179" s="104"/>
      <c r="J179" s="104"/>
      <c r="K179" s="118">
        <v>1</v>
      </c>
      <c r="L179" s="118" t="s">
        <v>81</v>
      </c>
      <c r="M179" s="142">
        <f t="shared" ref="M179" si="42">K179</f>
        <v>1</v>
      </c>
      <c r="N179" s="104" t="s">
        <v>84</v>
      </c>
      <c r="O179" s="120">
        <v>4</v>
      </c>
      <c r="P179" s="104" t="s">
        <v>41</v>
      </c>
      <c r="Q179" s="150">
        <f t="shared" si="34"/>
        <v>4</v>
      </c>
      <c r="R179" s="148"/>
      <c r="S179" s="150">
        <f t="shared" si="35"/>
        <v>4</v>
      </c>
      <c r="T179" s="149" t="s">
        <v>48</v>
      </c>
    </row>
    <row r="180" spans="2:20" ht="20.25" customHeight="1">
      <c r="C180" s="96"/>
      <c r="D180" s="102">
        <f t="shared" si="29"/>
        <v>180</v>
      </c>
      <c r="E180" s="106" t="s">
        <v>197</v>
      </c>
      <c r="F180" s="108">
        <f t="shared" si="36"/>
        <v>179</v>
      </c>
      <c r="G180" s="105" t="s">
        <v>44</v>
      </c>
      <c r="H180" s="105"/>
      <c r="I180" s="104">
        <v>14</v>
      </c>
      <c r="J180" s="104"/>
      <c r="K180" s="118">
        <v>19</v>
      </c>
      <c r="L180" s="118" t="s">
        <v>81</v>
      </c>
      <c r="M180" s="119">
        <v>1</v>
      </c>
      <c r="N180" s="104" t="s">
        <v>84</v>
      </c>
      <c r="O180" s="120">
        <v>1</v>
      </c>
      <c r="P180" s="104" t="s">
        <v>41</v>
      </c>
      <c r="Q180" s="150">
        <f t="shared" si="34"/>
        <v>1</v>
      </c>
      <c r="R180" s="148"/>
      <c r="S180" s="150">
        <f t="shared" si="35"/>
        <v>1</v>
      </c>
      <c r="T180" s="149" t="s">
        <v>48</v>
      </c>
    </row>
    <row r="181" spans="2:20" ht="20.25" customHeight="1">
      <c r="C181" s="96"/>
      <c r="D181" s="102">
        <f t="shared" si="29"/>
        <v>181</v>
      </c>
      <c r="E181" s="106" t="s">
        <v>198</v>
      </c>
      <c r="F181" s="108">
        <f t="shared" si="36"/>
        <v>180</v>
      </c>
      <c r="G181" s="105" t="s">
        <v>52</v>
      </c>
      <c r="H181" s="105"/>
      <c r="I181" s="104"/>
      <c r="J181" s="104"/>
      <c r="K181" s="118">
        <v>19</v>
      </c>
      <c r="L181" s="118" t="s">
        <v>81</v>
      </c>
      <c r="M181" s="119">
        <v>1</v>
      </c>
      <c r="N181" s="104" t="s">
        <v>84</v>
      </c>
      <c r="O181" s="120">
        <v>5</v>
      </c>
      <c r="P181" s="104" t="s">
        <v>41</v>
      </c>
      <c r="Q181" s="150">
        <f t="shared" si="34"/>
        <v>5</v>
      </c>
      <c r="R181" s="148"/>
      <c r="S181" s="150">
        <f t="shared" si="35"/>
        <v>5</v>
      </c>
      <c r="T181" s="149" t="s">
        <v>48</v>
      </c>
    </row>
    <row r="182" spans="2:20" ht="20.25" customHeight="1">
      <c r="B182" s="111"/>
      <c r="C182" s="96">
        <f>D182</f>
        <v>182</v>
      </c>
      <c r="D182" s="102">
        <f t="shared" si="29"/>
        <v>182</v>
      </c>
      <c r="E182" s="103" t="s">
        <v>199</v>
      </c>
      <c r="F182" s="108">
        <f>D178</f>
        <v>178</v>
      </c>
      <c r="G182" s="105"/>
      <c r="H182" s="105"/>
      <c r="I182" s="104"/>
      <c r="J182" s="104"/>
      <c r="K182" s="118"/>
      <c r="L182" s="118"/>
      <c r="M182" s="119"/>
      <c r="N182" s="104"/>
      <c r="O182" s="120"/>
      <c r="P182" s="104"/>
      <c r="Q182" s="150"/>
      <c r="R182" s="148"/>
      <c r="S182" s="150"/>
      <c r="T182" s="149"/>
    </row>
    <row r="183" spans="2:20" ht="20.25" customHeight="1">
      <c r="C183" s="96"/>
      <c r="D183" s="102">
        <f t="shared" si="29"/>
        <v>183</v>
      </c>
      <c r="E183" s="106" t="s">
        <v>200</v>
      </c>
      <c r="F183" s="108">
        <f t="shared" si="36"/>
        <v>182</v>
      </c>
      <c r="G183" s="105" t="s">
        <v>201</v>
      </c>
      <c r="H183" s="105"/>
      <c r="I183" s="104"/>
      <c r="J183" s="104"/>
      <c r="K183" s="118">
        <v>19</v>
      </c>
      <c r="L183" s="118" t="s">
        <v>81</v>
      </c>
      <c r="M183" s="142">
        <f t="shared" ref="M183" si="43">K183</f>
        <v>19</v>
      </c>
      <c r="N183" s="104" t="s">
        <v>81</v>
      </c>
      <c r="O183" s="120">
        <v>1</v>
      </c>
      <c r="P183" s="104" t="s">
        <v>162</v>
      </c>
      <c r="Q183" s="150">
        <f t="shared" si="34"/>
        <v>19</v>
      </c>
      <c r="R183" s="148"/>
      <c r="S183" s="150">
        <f t="shared" si="35"/>
        <v>19</v>
      </c>
      <c r="T183" s="149" t="s">
        <v>48</v>
      </c>
    </row>
    <row r="184" spans="2:20" ht="20.25" customHeight="1">
      <c r="C184" s="96"/>
      <c r="D184" s="102">
        <f t="shared" si="29"/>
        <v>184</v>
      </c>
      <c r="E184" s="106" t="s">
        <v>202</v>
      </c>
      <c r="F184" s="108">
        <f t="shared" si="36"/>
        <v>183</v>
      </c>
      <c r="G184" s="105" t="s">
        <v>44</v>
      </c>
      <c r="H184" s="105"/>
      <c r="I184" s="104"/>
      <c r="J184" s="104" t="s">
        <v>203</v>
      </c>
      <c r="K184" s="118">
        <v>3</v>
      </c>
      <c r="L184" s="118" t="s">
        <v>81</v>
      </c>
      <c r="M184" s="142">
        <v>3</v>
      </c>
      <c r="N184" s="104" t="s">
        <v>81</v>
      </c>
      <c r="O184" s="120">
        <v>2</v>
      </c>
      <c r="P184" s="104" t="s">
        <v>162</v>
      </c>
      <c r="Q184" s="150">
        <f t="shared" si="34"/>
        <v>6</v>
      </c>
      <c r="R184" s="148"/>
      <c r="S184" s="150">
        <f t="shared" si="35"/>
        <v>6</v>
      </c>
      <c r="T184" s="149" t="s">
        <v>48</v>
      </c>
    </row>
    <row r="185" spans="2:20" ht="20.25" customHeight="1">
      <c r="C185" s="96">
        <f>D185</f>
        <v>185</v>
      </c>
      <c r="D185" s="102">
        <f t="shared" si="29"/>
        <v>185</v>
      </c>
      <c r="E185" s="103" t="s">
        <v>204</v>
      </c>
      <c r="F185" s="108">
        <f>D182</f>
        <v>182</v>
      </c>
      <c r="G185" s="105"/>
      <c r="H185" s="105"/>
      <c r="I185" s="104"/>
      <c r="J185" s="104"/>
      <c r="K185" s="118"/>
      <c r="L185" s="118"/>
      <c r="M185" s="119"/>
      <c r="N185" s="104"/>
      <c r="O185" s="120"/>
      <c r="P185" s="104"/>
      <c r="Q185" s="150"/>
      <c r="R185" s="148"/>
      <c r="S185" s="150"/>
      <c r="T185" s="149"/>
    </row>
    <row r="186" spans="2:20" ht="20.25" customHeight="1">
      <c r="C186" s="96"/>
      <c r="D186" s="102">
        <f t="shared" si="29"/>
        <v>186</v>
      </c>
      <c r="E186" s="106" t="s">
        <v>204</v>
      </c>
      <c r="F186" s="108">
        <f t="shared" si="36"/>
        <v>185</v>
      </c>
      <c r="G186" s="105" t="s">
        <v>55</v>
      </c>
      <c r="H186" s="105"/>
      <c r="I186" s="104" t="s">
        <v>205</v>
      </c>
      <c r="J186" s="104"/>
      <c r="K186" s="118">
        <v>3</v>
      </c>
      <c r="L186" s="118" t="s">
        <v>206</v>
      </c>
      <c r="M186" s="119">
        <v>1</v>
      </c>
      <c r="N186" s="104" t="s">
        <v>84</v>
      </c>
      <c r="O186" s="120">
        <v>10</v>
      </c>
      <c r="P186" s="104" t="s">
        <v>41</v>
      </c>
      <c r="Q186" s="150">
        <f t="shared" si="34"/>
        <v>10</v>
      </c>
      <c r="R186" s="148"/>
      <c r="S186" s="150">
        <f t="shared" si="35"/>
        <v>10</v>
      </c>
      <c r="T186" s="149" t="s">
        <v>41</v>
      </c>
    </row>
    <row r="187" spans="2:20" ht="20.25" customHeight="1">
      <c r="C187" s="96">
        <f>D187</f>
        <v>187</v>
      </c>
      <c r="D187" s="102">
        <f t="shared" si="29"/>
        <v>187</v>
      </c>
      <c r="E187" s="103" t="s">
        <v>207</v>
      </c>
      <c r="F187" s="108">
        <f>D185</f>
        <v>185</v>
      </c>
      <c r="G187" s="105"/>
      <c r="H187" s="105"/>
      <c r="I187" s="104"/>
      <c r="J187" s="104"/>
      <c r="K187" s="118"/>
      <c r="L187" s="118"/>
      <c r="M187" s="119"/>
      <c r="N187" s="104"/>
      <c r="O187" s="120"/>
      <c r="P187" s="104"/>
      <c r="Q187" s="150"/>
      <c r="R187" s="148"/>
      <c r="S187" s="150"/>
      <c r="T187" s="149"/>
    </row>
    <row r="188" spans="2:20" ht="20.25" customHeight="1">
      <c r="C188" s="96"/>
      <c r="D188" s="102">
        <f t="shared" si="29"/>
        <v>188</v>
      </c>
      <c r="E188" s="106" t="s">
        <v>208</v>
      </c>
      <c r="F188" s="108">
        <f t="shared" si="36"/>
        <v>187</v>
      </c>
      <c r="G188" s="105" t="s">
        <v>44</v>
      </c>
      <c r="H188" s="105"/>
      <c r="I188" s="104"/>
      <c r="J188" s="104"/>
      <c r="K188" s="118">
        <v>3</v>
      </c>
      <c r="L188" s="118" t="s">
        <v>206</v>
      </c>
      <c r="M188" s="119">
        <v>4</v>
      </c>
      <c r="N188" s="104" t="s">
        <v>206</v>
      </c>
      <c r="O188" s="120">
        <v>6</v>
      </c>
      <c r="P188" s="104" t="s">
        <v>48</v>
      </c>
      <c r="Q188" s="150">
        <f t="shared" si="34"/>
        <v>24</v>
      </c>
      <c r="R188" s="148"/>
      <c r="S188" s="150">
        <f t="shared" si="35"/>
        <v>24</v>
      </c>
      <c r="T188" s="149" t="s">
        <v>162</v>
      </c>
    </row>
    <row r="189" spans="2:20" ht="20.25" customHeight="1">
      <c r="C189" s="96"/>
      <c r="D189" s="102">
        <f t="shared" si="29"/>
        <v>189</v>
      </c>
      <c r="E189" s="106" t="s">
        <v>209</v>
      </c>
      <c r="F189" s="108">
        <f t="shared" si="36"/>
        <v>188</v>
      </c>
      <c r="G189" s="105" t="s">
        <v>63</v>
      </c>
      <c r="H189" s="105"/>
      <c r="I189" s="104"/>
      <c r="J189" s="104"/>
      <c r="K189" s="118">
        <v>9</v>
      </c>
      <c r="L189" s="118" t="s">
        <v>81</v>
      </c>
      <c r="M189" s="142">
        <f>1308*9*2</f>
        <v>23544</v>
      </c>
      <c r="N189" s="104" t="s">
        <v>210</v>
      </c>
      <c r="O189" s="162">
        <f>1/100</f>
        <v>0.01</v>
      </c>
      <c r="P189" s="104"/>
      <c r="Q189" s="150">
        <f t="shared" si="34"/>
        <v>235.44</v>
      </c>
      <c r="R189" s="148"/>
      <c r="S189" s="150">
        <f>(Q189+R189)/16</f>
        <v>14.715</v>
      </c>
      <c r="T189" s="149" t="s">
        <v>42</v>
      </c>
    </row>
    <row r="190" spans="2:20" ht="20.25" customHeight="1">
      <c r="C190" s="96">
        <f>D190</f>
        <v>190</v>
      </c>
      <c r="D190" s="102">
        <f t="shared" si="29"/>
        <v>190</v>
      </c>
      <c r="E190" s="103" t="s">
        <v>211</v>
      </c>
      <c r="F190" s="108">
        <f>D187</f>
        <v>187</v>
      </c>
      <c r="G190" s="105"/>
      <c r="H190" s="105"/>
      <c r="I190" s="104"/>
      <c r="J190" s="104"/>
      <c r="K190" s="118"/>
      <c r="L190" s="118"/>
      <c r="M190" s="119"/>
      <c r="N190" s="104"/>
      <c r="O190" s="120"/>
      <c r="P190" s="104"/>
      <c r="Q190" s="150"/>
      <c r="R190" s="148"/>
      <c r="S190" s="150"/>
      <c r="T190" s="149"/>
    </row>
    <row r="191" spans="2:20" ht="20.25" customHeight="1">
      <c r="C191" s="96"/>
      <c r="D191" s="102">
        <f t="shared" si="29"/>
        <v>191</v>
      </c>
      <c r="E191" s="106" t="s">
        <v>212</v>
      </c>
      <c r="F191" s="108">
        <f t="shared" si="36"/>
        <v>190</v>
      </c>
      <c r="G191" s="105" t="s">
        <v>44</v>
      </c>
      <c r="H191" s="105"/>
      <c r="I191" s="104"/>
      <c r="J191" s="104"/>
      <c r="K191" s="118">
        <v>3</v>
      </c>
      <c r="L191" s="118" t="s">
        <v>81</v>
      </c>
      <c r="M191" s="142">
        <f t="shared" ref="M191" si="44">K191</f>
        <v>3</v>
      </c>
      <c r="N191" s="104" t="s">
        <v>81</v>
      </c>
      <c r="O191" s="120">
        <v>0.25</v>
      </c>
      <c r="P191" s="104" t="s">
        <v>162</v>
      </c>
      <c r="Q191" s="150">
        <f t="shared" si="34"/>
        <v>0.75</v>
      </c>
      <c r="R191" s="148"/>
      <c r="S191" s="150">
        <f t="shared" si="35"/>
        <v>0.75</v>
      </c>
      <c r="T191" s="149" t="s">
        <v>48</v>
      </c>
    </row>
    <row r="192" spans="2:20" ht="20.25" customHeight="1">
      <c r="C192" s="96"/>
      <c r="D192" s="102">
        <f t="shared" si="29"/>
        <v>192</v>
      </c>
      <c r="E192" s="106" t="s">
        <v>213</v>
      </c>
      <c r="F192" s="108">
        <f t="shared" si="36"/>
        <v>191</v>
      </c>
      <c r="G192" s="105" t="s">
        <v>44</v>
      </c>
      <c r="H192" s="105"/>
      <c r="I192" s="104"/>
      <c r="J192" s="104"/>
      <c r="K192" s="118">
        <v>3</v>
      </c>
      <c r="L192" s="118" t="s">
        <v>81</v>
      </c>
      <c r="M192" s="119">
        <v>1</v>
      </c>
      <c r="N192" s="104" t="s">
        <v>160</v>
      </c>
      <c r="O192" s="120">
        <v>1</v>
      </c>
      <c r="P192" s="104" t="s">
        <v>48</v>
      </c>
      <c r="Q192" s="150">
        <f t="shared" si="34"/>
        <v>1</v>
      </c>
      <c r="R192" s="148"/>
      <c r="S192" s="150">
        <f t="shared" si="35"/>
        <v>1</v>
      </c>
      <c r="T192" s="149" t="s">
        <v>48</v>
      </c>
    </row>
    <row r="193" spans="3:20" ht="20.25" customHeight="1">
      <c r="C193" s="96"/>
      <c r="D193" s="102">
        <f t="shared" si="29"/>
        <v>193</v>
      </c>
      <c r="E193" s="106" t="s">
        <v>214</v>
      </c>
      <c r="F193" s="108">
        <f t="shared" si="36"/>
        <v>192</v>
      </c>
      <c r="G193" s="105" t="s">
        <v>55</v>
      </c>
      <c r="H193" s="105"/>
      <c r="I193" s="104"/>
      <c r="J193" s="104"/>
      <c r="K193" s="118">
        <v>3</v>
      </c>
      <c r="L193" s="118" t="s">
        <v>81</v>
      </c>
      <c r="M193" s="119">
        <v>1</v>
      </c>
      <c r="N193" s="104" t="s">
        <v>160</v>
      </c>
      <c r="O193" s="120">
        <v>5</v>
      </c>
      <c r="P193" s="104" t="s">
        <v>41</v>
      </c>
      <c r="Q193" s="150">
        <f t="shared" si="34"/>
        <v>5</v>
      </c>
      <c r="R193" s="148"/>
      <c r="S193" s="150">
        <f t="shared" si="35"/>
        <v>5</v>
      </c>
      <c r="T193" s="149" t="s">
        <v>41</v>
      </c>
    </row>
    <row r="194" spans="3:20" ht="20.25" customHeight="1">
      <c r="C194" s="96"/>
      <c r="D194" s="102">
        <f t="shared" si="29"/>
        <v>194</v>
      </c>
      <c r="E194" s="106" t="s">
        <v>215</v>
      </c>
      <c r="F194" s="108">
        <f t="shared" si="36"/>
        <v>193</v>
      </c>
      <c r="G194" s="105" t="s">
        <v>55</v>
      </c>
      <c r="H194" s="105"/>
      <c r="I194" s="104"/>
      <c r="J194" s="104"/>
      <c r="K194" s="118">
        <v>3</v>
      </c>
      <c r="L194" s="118" t="s">
        <v>81</v>
      </c>
      <c r="M194" s="119">
        <v>1</v>
      </c>
      <c r="N194" s="104" t="s">
        <v>160</v>
      </c>
      <c r="O194" s="120">
        <v>5</v>
      </c>
      <c r="P194" s="104" t="s">
        <v>41</v>
      </c>
      <c r="Q194" s="150">
        <f t="shared" si="34"/>
        <v>5</v>
      </c>
      <c r="R194" s="148"/>
      <c r="S194" s="150">
        <f t="shared" si="35"/>
        <v>5</v>
      </c>
      <c r="T194" s="149" t="s">
        <v>41</v>
      </c>
    </row>
    <row r="195" spans="3:20" ht="20.25" customHeight="1">
      <c r="C195" s="96"/>
      <c r="D195" s="102">
        <f t="shared" ref="D195:D258" si="45">D194+1</f>
        <v>195</v>
      </c>
      <c r="E195" s="106" t="s">
        <v>216</v>
      </c>
      <c r="F195" s="108">
        <f t="shared" si="36"/>
        <v>194</v>
      </c>
      <c r="G195" s="105" t="s">
        <v>217</v>
      </c>
      <c r="H195" s="105"/>
      <c r="I195" s="104"/>
      <c r="J195" s="104"/>
      <c r="K195" s="118">
        <v>3</v>
      </c>
      <c r="L195" s="118" t="s">
        <v>81</v>
      </c>
      <c r="M195" s="119">
        <v>1</v>
      </c>
      <c r="N195" s="104" t="s">
        <v>160</v>
      </c>
      <c r="O195" s="120">
        <v>1</v>
      </c>
      <c r="P195" s="104" t="s">
        <v>41</v>
      </c>
      <c r="Q195" s="150">
        <f t="shared" si="34"/>
        <v>1</v>
      </c>
      <c r="R195" s="148"/>
      <c r="S195" s="150">
        <f t="shared" si="35"/>
        <v>1</v>
      </c>
      <c r="T195" s="149" t="s">
        <v>41</v>
      </c>
    </row>
    <row r="196" spans="3:20" ht="20.25" customHeight="1">
      <c r="C196" s="96">
        <f>D196</f>
        <v>196</v>
      </c>
      <c r="D196" s="102">
        <f t="shared" si="45"/>
        <v>196</v>
      </c>
      <c r="E196" s="103" t="s">
        <v>218</v>
      </c>
      <c r="F196" s="108">
        <f>D190</f>
        <v>190</v>
      </c>
      <c r="G196" s="105"/>
      <c r="H196" s="105"/>
      <c r="I196" s="104"/>
      <c r="J196" s="104"/>
      <c r="K196" s="118"/>
      <c r="L196" s="118"/>
      <c r="M196" s="119"/>
      <c r="N196" s="104"/>
      <c r="O196" s="120"/>
      <c r="P196" s="104"/>
      <c r="Q196" s="150"/>
      <c r="R196" s="148"/>
      <c r="S196" s="150"/>
      <c r="T196" s="149"/>
    </row>
    <row r="197" spans="3:20" ht="20.25" customHeight="1">
      <c r="C197" s="96"/>
      <c r="D197" s="102">
        <f t="shared" si="45"/>
        <v>197</v>
      </c>
      <c r="E197" s="106" t="s">
        <v>219</v>
      </c>
      <c r="F197" s="108">
        <f t="shared" si="36"/>
        <v>196</v>
      </c>
      <c r="G197" s="105"/>
      <c r="H197" s="105"/>
      <c r="I197" s="104"/>
      <c r="J197" s="104"/>
      <c r="K197" s="118">
        <v>2</v>
      </c>
      <c r="L197" s="118" t="s">
        <v>81</v>
      </c>
      <c r="M197" s="142">
        <v>1</v>
      </c>
      <c r="N197" s="104" t="s">
        <v>84</v>
      </c>
      <c r="O197" s="120">
        <v>4</v>
      </c>
      <c r="P197" s="104" t="s">
        <v>41</v>
      </c>
      <c r="Q197" s="150">
        <f t="shared" si="34"/>
        <v>4</v>
      </c>
      <c r="R197" s="148"/>
      <c r="S197" s="150">
        <f t="shared" si="35"/>
        <v>4</v>
      </c>
      <c r="T197" s="149" t="s">
        <v>42</v>
      </c>
    </row>
    <row r="198" spans="3:20" ht="20.25" customHeight="1">
      <c r="C198" s="96"/>
      <c r="D198" s="102">
        <f t="shared" si="45"/>
        <v>198</v>
      </c>
      <c r="E198" s="106" t="s">
        <v>220</v>
      </c>
      <c r="F198" s="108">
        <f t="shared" si="36"/>
        <v>197</v>
      </c>
      <c r="G198" s="105" t="s">
        <v>55</v>
      </c>
      <c r="H198" s="105"/>
      <c r="I198" s="104">
        <v>20</v>
      </c>
      <c r="J198" s="104"/>
      <c r="K198" s="118">
        <v>2</v>
      </c>
      <c r="L198" s="118" t="s">
        <v>81</v>
      </c>
      <c r="M198" s="119">
        <v>1</v>
      </c>
      <c r="N198" s="104" t="s">
        <v>84</v>
      </c>
      <c r="O198" s="120">
        <v>1</v>
      </c>
      <c r="P198" s="104" t="s">
        <v>41</v>
      </c>
      <c r="Q198" s="150">
        <f t="shared" si="34"/>
        <v>1</v>
      </c>
      <c r="R198" s="148"/>
      <c r="S198" s="150">
        <f t="shared" si="35"/>
        <v>1</v>
      </c>
      <c r="T198" s="149" t="s">
        <v>42</v>
      </c>
    </row>
    <row r="199" spans="3:20" ht="20.25" customHeight="1">
      <c r="C199" s="96"/>
      <c r="D199" s="102">
        <f t="shared" si="45"/>
        <v>199</v>
      </c>
      <c r="E199" s="106" t="s">
        <v>221</v>
      </c>
      <c r="F199" s="108">
        <f t="shared" si="36"/>
        <v>198</v>
      </c>
      <c r="G199" s="105" t="s">
        <v>55</v>
      </c>
      <c r="H199" s="105"/>
      <c r="I199" s="104"/>
      <c r="J199" s="104"/>
      <c r="K199" s="118">
        <v>2</v>
      </c>
      <c r="L199" s="118" t="s">
        <v>81</v>
      </c>
      <c r="M199" s="119">
        <v>1</v>
      </c>
      <c r="N199" s="104" t="s">
        <v>84</v>
      </c>
      <c r="O199" s="120">
        <v>5</v>
      </c>
      <c r="P199" s="104" t="s">
        <v>41</v>
      </c>
      <c r="Q199" s="150">
        <f t="shared" si="34"/>
        <v>5</v>
      </c>
      <c r="R199" s="148"/>
      <c r="S199" s="150">
        <f t="shared" si="35"/>
        <v>5</v>
      </c>
      <c r="T199" s="149" t="s">
        <v>42</v>
      </c>
    </row>
    <row r="200" spans="3:20" ht="20.25" customHeight="1">
      <c r="C200" s="96">
        <f>D200</f>
        <v>200</v>
      </c>
      <c r="D200" s="102">
        <f t="shared" si="45"/>
        <v>200</v>
      </c>
      <c r="E200" s="103" t="s">
        <v>222</v>
      </c>
      <c r="F200" s="108">
        <f>D196</f>
        <v>196</v>
      </c>
      <c r="G200" s="105"/>
      <c r="H200" s="105"/>
      <c r="I200" s="104"/>
      <c r="J200" s="104"/>
      <c r="K200" s="118"/>
      <c r="L200" s="118"/>
      <c r="M200" s="119"/>
      <c r="N200" s="104"/>
      <c r="O200" s="120"/>
      <c r="P200" s="104"/>
      <c r="Q200" s="150"/>
      <c r="R200" s="148"/>
      <c r="S200" s="150"/>
      <c r="T200" s="149"/>
    </row>
    <row r="201" spans="3:20" ht="20.25" customHeight="1">
      <c r="C201" s="96"/>
      <c r="D201" s="102">
        <f t="shared" si="45"/>
        <v>201</v>
      </c>
      <c r="E201" s="106" t="s">
        <v>223</v>
      </c>
      <c r="F201" s="108">
        <f t="shared" si="36"/>
        <v>200</v>
      </c>
      <c r="G201" s="105" t="s">
        <v>224</v>
      </c>
      <c r="H201" s="105"/>
      <c r="I201" s="104"/>
      <c r="J201" s="104"/>
      <c r="K201" s="118">
        <v>2</v>
      </c>
      <c r="L201" s="118" t="s">
        <v>81</v>
      </c>
      <c r="M201" s="142">
        <f t="shared" ref="M201:M202" si="46">K201</f>
        <v>2</v>
      </c>
      <c r="N201" s="104" t="s">
        <v>81</v>
      </c>
      <c r="O201" s="120">
        <v>2</v>
      </c>
      <c r="P201" s="104" t="s">
        <v>162</v>
      </c>
      <c r="Q201" s="150">
        <f t="shared" si="34"/>
        <v>4</v>
      </c>
      <c r="R201" s="148"/>
      <c r="S201" s="150">
        <f t="shared" si="35"/>
        <v>4</v>
      </c>
      <c r="T201" s="149" t="s">
        <v>162</v>
      </c>
    </row>
    <row r="202" spans="3:20" ht="20.25" customHeight="1">
      <c r="C202" s="96"/>
      <c r="D202" s="102">
        <f t="shared" si="45"/>
        <v>202</v>
      </c>
      <c r="E202" s="106" t="s">
        <v>225</v>
      </c>
      <c r="F202" s="108">
        <f t="shared" si="36"/>
        <v>201</v>
      </c>
      <c r="G202" s="105" t="s">
        <v>44</v>
      </c>
      <c r="H202" s="105"/>
      <c r="I202" s="104"/>
      <c r="J202" s="104"/>
      <c r="K202" s="118">
        <v>2</v>
      </c>
      <c r="L202" s="118" t="s">
        <v>81</v>
      </c>
      <c r="M202" s="142">
        <f t="shared" si="46"/>
        <v>2</v>
      </c>
      <c r="N202" s="104" t="s">
        <v>81</v>
      </c>
      <c r="O202" s="120">
        <v>0.5</v>
      </c>
      <c r="P202" s="104" t="s">
        <v>162</v>
      </c>
      <c r="Q202" s="150">
        <f t="shared" si="34"/>
        <v>1</v>
      </c>
      <c r="R202" s="148"/>
      <c r="S202" s="150">
        <f t="shared" si="35"/>
        <v>1</v>
      </c>
      <c r="T202" s="149" t="s">
        <v>162</v>
      </c>
    </row>
    <row r="203" spans="3:20" ht="20.25" customHeight="1">
      <c r="C203" s="96">
        <f>D203</f>
        <v>203</v>
      </c>
      <c r="D203" s="102">
        <f t="shared" si="45"/>
        <v>203</v>
      </c>
      <c r="E203" s="103" t="s">
        <v>226</v>
      </c>
      <c r="F203" s="108">
        <f>D200</f>
        <v>200</v>
      </c>
      <c r="G203" s="105"/>
      <c r="H203" s="105"/>
      <c r="I203" s="104"/>
      <c r="J203" s="104"/>
      <c r="K203" s="118"/>
      <c r="L203" s="118"/>
      <c r="M203" s="119"/>
      <c r="N203" s="104"/>
      <c r="O203" s="120"/>
      <c r="P203" s="104"/>
      <c r="Q203" s="150"/>
      <c r="R203" s="148"/>
      <c r="S203" s="150"/>
      <c r="T203" s="149"/>
    </row>
    <row r="204" spans="3:20" ht="20.25" customHeight="1">
      <c r="C204" s="96"/>
      <c r="D204" s="102">
        <f t="shared" si="45"/>
        <v>204</v>
      </c>
      <c r="E204" s="106" t="s">
        <v>227</v>
      </c>
      <c r="F204" s="108">
        <f t="shared" si="36"/>
        <v>203</v>
      </c>
      <c r="G204" s="105" t="s">
        <v>55</v>
      </c>
      <c r="H204" s="105"/>
      <c r="I204" s="104" t="s">
        <v>228</v>
      </c>
      <c r="J204" s="104"/>
      <c r="K204" s="118">
        <v>1</v>
      </c>
      <c r="L204" s="118" t="s">
        <v>206</v>
      </c>
      <c r="M204" s="119">
        <v>1</v>
      </c>
      <c r="N204" s="104" t="s">
        <v>84</v>
      </c>
      <c r="O204" s="120">
        <v>10</v>
      </c>
      <c r="P204" s="104" t="s">
        <v>41</v>
      </c>
      <c r="Q204" s="150">
        <f t="shared" si="34"/>
        <v>10</v>
      </c>
      <c r="R204" s="148"/>
      <c r="S204" s="150">
        <f t="shared" si="35"/>
        <v>10</v>
      </c>
      <c r="T204" s="149"/>
    </row>
    <row r="205" spans="3:20" ht="20.25" customHeight="1">
      <c r="C205" s="96">
        <f>D205</f>
        <v>205</v>
      </c>
      <c r="D205" s="102">
        <f t="shared" si="45"/>
        <v>205</v>
      </c>
      <c r="E205" s="103" t="s">
        <v>229</v>
      </c>
      <c r="F205" s="108">
        <f>D203</f>
        <v>203</v>
      </c>
      <c r="G205" s="105"/>
      <c r="H205" s="105"/>
      <c r="I205" s="104"/>
      <c r="J205" s="104"/>
      <c r="K205" s="118"/>
      <c r="L205" s="118"/>
      <c r="M205" s="119"/>
      <c r="N205" s="104"/>
      <c r="O205" s="120"/>
      <c r="P205" s="104"/>
      <c r="Q205" s="150"/>
      <c r="R205" s="148"/>
      <c r="S205" s="150"/>
      <c r="T205" s="149"/>
    </row>
    <row r="206" spans="3:20" ht="20.25" customHeight="1">
      <c r="C206" s="96"/>
      <c r="D206" s="102">
        <f t="shared" si="45"/>
        <v>206</v>
      </c>
      <c r="E206" s="106" t="s">
        <v>230</v>
      </c>
      <c r="F206" s="108">
        <f t="shared" si="36"/>
        <v>205</v>
      </c>
      <c r="G206" s="105" t="s">
        <v>44</v>
      </c>
      <c r="H206" s="105"/>
      <c r="I206" s="104"/>
      <c r="J206" s="104"/>
      <c r="K206" s="118">
        <v>1</v>
      </c>
      <c r="L206" s="118" t="s">
        <v>206</v>
      </c>
      <c r="M206" s="119">
        <v>1</v>
      </c>
      <c r="N206" s="104" t="s">
        <v>206</v>
      </c>
      <c r="O206" s="120">
        <v>3</v>
      </c>
      <c r="P206" s="104" t="s">
        <v>48</v>
      </c>
      <c r="Q206" s="150">
        <f t="shared" si="34"/>
        <v>3</v>
      </c>
      <c r="R206" s="148"/>
      <c r="S206" s="150">
        <f t="shared" si="35"/>
        <v>3</v>
      </c>
      <c r="T206" s="149" t="s">
        <v>48</v>
      </c>
    </row>
    <row r="207" spans="3:20" ht="20.25" customHeight="1">
      <c r="C207" s="96"/>
      <c r="D207" s="102">
        <f t="shared" si="45"/>
        <v>207</v>
      </c>
      <c r="E207" s="106" t="s">
        <v>231</v>
      </c>
      <c r="F207" s="108">
        <f t="shared" si="36"/>
        <v>206</v>
      </c>
      <c r="G207" s="105" t="s">
        <v>63</v>
      </c>
      <c r="H207" s="105"/>
      <c r="I207" s="104"/>
      <c r="J207" s="104"/>
      <c r="K207" s="118">
        <v>2</v>
      </c>
      <c r="L207" s="118" t="s">
        <v>232</v>
      </c>
      <c r="M207" s="142">
        <f>1308*2*1</f>
        <v>2616</v>
      </c>
      <c r="N207" s="104" t="s">
        <v>210</v>
      </c>
      <c r="O207" s="162">
        <f>1/100</f>
        <v>0.01</v>
      </c>
      <c r="P207" s="104"/>
      <c r="Q207" s="150">
        <f t="shared" si="34"/>
        <v>26.16</v>
      </c>
      <c r="R207" s="148"/>
      <c r="S207" s="150">
        <f t="shared" si="35"/>
        <v>26.16</v>
      </c>
      <c r="T207" s="149"/>
    </row>
    <row r="208" spans="3:20" ht="20.25" customHeight="1">
      <c r="C208" s="96">
        <f>D208</f>
        <v>208</v>
      </c>
      <c r="D208" s="102">
        <f t="shared" si="45"/>
        <v>208</v>
      </c>
      <c r="E208" s="103" t="s">
        <v>233</v>
      </c>
      <c r="F208" s="108">
        <f>D22</f>
        <v>22</v>
      </c>
      <c r="G208" s="105"/>
      <c r="H208" s="105"/>
      <c r="I208" s="104"/>
      <c r="J208" s="104"/>
      <c r="K208" s="118"/>
      <c r="L208" s="118"/>
      <c r="M208" s="119"/>
      <c r="N208" s="104"/>
      <c r="O208" s="120"/>
      <c r="P208" s="104"/>
      <c r="Q208" s="150"/>
      <c r="R208" s="148"/>
      <c r="S208" s="150"/>
      <c r="T208" s="149"/>
    </row>
    <row r="209" spans="3:20" ht="20.25" customHeight="1">
      <c r="C209" s="96"/>
      <c r="D209" s="102">
        <f t="shared" si="45"/>
        <v>209</v>
      </c>
      <c r="E209" s="106" t="s">
        <v>234</v>
      </c>
      <c r="F209" s="108">
        <f t="shared" si="36"/>
        <v>208</v>
      </c>
      <c r="G209" s="105"/>
      <c r="H209" s="105"/>
      <c r="I209" s="104"/>
      <c r="J209" s="104"/>
      <c r="K209" s="118">
        <v>1</v>
      </c>
      <c r="L209" s="118" t="s">
        <v>81</v>
      </c>
      <c r="M209" s="142">
        <f t="shared" ref="M209:M212" si="47">K209</f>
        <v>1</v>
      </c>
      <c r="N209" s="104" t="s">
        <v>84</v>
      </c>
      <c r="O209" s="120">
        <v>4</v>
      </c>
      <c r="P209" s="104" t="s">
        <v>41</v>
      </c>
      <c r="Q209" s="150">
        <f t="shared" si="34"/>
        <v>4</v>
      </c>
      <c r="R209" s="148"/>
      <c r="S209" s="150">
        <f t="shared" si="35"/>
        <v>4</v>
      </c>
      <c r="T209" s="149" t="s">
        <v>41</v>
      </c>
    </row>
    <row r="210" spans="3:20" ht="20.25" customHeight="1">
      <c r="C210" s="96"/>
      <c r="D210" s="102">
        <f t="shared" si="45"/>
        <v>210</v>
      </c>
      <c r="E210" s="106" t="s">
        <v>235</v>
      </c>
      <c r="F210" s="108">
        <f t="shared" si="36"/>
        <v>209</v>
      </c>
      <c r="G210" s="105" t="s">
        <v>44</v>
      </c>
      <c r="H210" s="105"/>
      <c r="I210" s="104"/>
      <c r="J210" s="104"/>
      <c r="K210" s="118">
        <v>22</v>
      </c>
      <c r="L210" s="118" t="s">
        <v>81</v>
      </c>
      <c r="M210" s="119">
        <f t="shared" si="47"/>
        <v>22</v>
      </c>
      <c r="N210" s="104" t="s">
        <v>236</v>
      </c>
      <c r="O210" s="120">
        <v>0.25</v>
      </c>
      <c r="P210" s="104" t="s">
        <v>162</v>
      </c>
      <c r="Q210" s="150">
        <f t="shared" si="34"/>
        <v>5.5</v>
      </c>
      <c r="R210" s="148"/>
      <c r="S210" s="150">
        <f t="shared" si="35"/>
        <v>5.5</v>
      </c>
      <c r="T210" s="149" t="s">
        <v>48</v>
      </c>
    </row>
    <row r="211" spans="3:20" ht="20.25" customHeight="1">
      <c r="C211" s="96"/>
      <c r="D211" s="102">
        <f t="shared" si="45"/>
        <v>211</v>
      </c>
      <c r="E211" s="106" t="s">
        <v>237</v>
      </c>
      <c r="F211" s="108">
        <f t="shared" si="36"/>
        <v>210</v>
      </c>
      <c r="G211" s="105" t="s">
        <v>238</v>
      </c>
      <c r="H211" s="105"/>
      <c r="I211" s="104"/>
      <c r="J211" s="104"/>
      <c r="K211" s="118">
        <v>22</v>
      </c>
      <c r="L211" s="118" t="s">
        <v>81</v>
      </c>
      <c r="M211" s="119">
        <f t="shared" si="47"/>
        <v>22</v>
      </c>
      <c r="N211" s="104" t="s">
        <v>81</v>
      </c>
      <c r="O211" s="120">
        <v>0.45</v>
      </c>
      <c r="P211" s="104" t="s">
        <v>162</v>
      </c>
      <c r="Q211" s="150">
        <f t="shared" si="34"/>
        <v>9.9</v>
      </c>
      <c r="R211" s="148"/>
      <c r="S211" s="150">
        <f t="shared" si="35"/>
        <v>9.9</v>
      </c>
      <c r="T211" s="149" t="s">
        <v>750</v>
      </c>
    </row>
    <row r="212" spans="3:20" ht="20.25" customHeight="1">
      <c r="C212" s="96"/>
      <c r="D212" s="102">
        <f t="shared" si="45"/>
        <v>212</v>
      </c>
      <c r="E212" s="106" t="s">
        <v>239</v>
      </c>
      <c r="F212" s="108">
        <f t="shared" si="36"/>
        <v>211</v>
      </c>
      <c r="G212" s="105" t="s">
        <v>240</v>
      </c>
      <c r="H212" s="105"/>
      <c r="I212" s="104"/>
      <c r="J212" s="104"/>
      <c r="K212" s="118">
        <v>22</v>
      </c>
      <c r="L212" s="118" t="s">
        <v>81</v>
      </c>
      <c r="M212" s="119">
        <f t="shared" si="47"/>
        <v>22</v>
      </c>
      <c r="N212" s="104" t="s">
        <v>81</v>
      </c>
      <c r="O212" s="120">
        <v>0.5</v>
      </c>
      <c r="P212" s="104" t="s">
        <v>162</v>
      </c>
      <c r="Q212" s="150">
        <f t="shared" si="34"/>
        <v>11</v>
      </c>
      <c r="R212" s="148"/>
      <c r="S212" s="150">
        <f t="shared" si="35"/>
        <v>11</v>
      </c>
      <c r="T212" s="149" t="s">
        <v>48</v>
      </c>
    </row>
    <row r="213" spans="3:20" ht="20.25" customHeight="1">
      <c r="C213" s="96">
        <f>D213</f>
        <v>213</v>
      </c>
      <c r="D213" s="102">
        <f t="shared" si="45"/>
        <v>213</v>
      </c>
      <c r="E213" s="103" t="s">
        <v>241</v>
      </c>
      <c r="F213" s="108">
        <f>D21</f>
        <v>21</v>
      </c>
      <c r="G213" s="105"/>
      <c r="H213" s="105"/>
      <c r="I213" s="104"/>
      <c r="J213" s="104"/>
      <c r="K213" s="118"/>
      <c r="L213" s="118"/>
      <c r="M213" s="119"/>
      <c r="N213" s="104"/>
      <c r="O213" s="120"/>
      <c r="P213" s="104"/>
      <c r="Q213" s="150"/>
      <c r="R213" s="148"/>
      <c r="S213" s="150"/>
      <c r="T213" s="149"/>
    </row>
    <row r="214" spans="3:20" ht="20.25" customHeight="1">
      <c r="C214" s="96"/>
      <c r="D214" s="102">
        <f t="shared" si="45"/>
        <v>214</v>
      </c>
      <c r="E214" s="106" t="s">
        <v>242</v>
      </c>
      <c r="F214" s="108">
        <f t="shared" si="36"/>
        <v>213</v>
      </c>
      <c r="G214" s="105"/>
      <c r="H214" s="105"/>
      <c r="I214" s="104"/>
      <c r="J214" s="104"/>
      <c r="K214" s="118">
        <v>1</v>
      </c>
      <c r="L214" s="118" t="s">
        <v>81</v>
      </c>
      <c r="M214" s="142">
        <f t="shared" ref="M214:M217" si="48">K214</f>
        <v>1</v>
      </c>
      <c r="N214" s="104" t="s">
        <v>84</v>
      </c>
      <c r="O214" s="120">
        <v>4</v>
      </c>
      <c r="P214" s="104" t="s">
        <v>41</v>
      </c>
      <c r="Q214" s="150">
        <f t="shared" si="34"/>
        <v>4</v>
      </c>
      <c r="R214" s="148"/>
      <c r="S214" s="150">
        <f t="shared" si="35"/>
        <v>4</v>
      </c>
      <c r="T214" s="149" t="s">
        <v>48</v>
      </c>
    </row>
    <row r="215" spans="3:20" ht="20.25" customHeight="1">
      <c r="C215" s="96"/>
      <c r="D215" s="102">
        <f t="shared" si="45"/>
        <v>215</v>
      </c>
      <c r="E215" s="106" t="s">
        <v>243</v>
      </c>
      <c r="F215" s="108">
        <f t="shared" si="36"/>
        <v>214</v>
      </c>
      <c r="G215" s="105" t="s">
        <v>44</v>
      </c>
      <c r="H215" s="105"/>
      <c r="I215" s="104"/>
      <c r="J215" s="104"/>
      <c r="K215" s="118">
        <v>414</v>
      </c>
      <c r="L215" s="118" t="s">
        <v>81</v>
      </c>
      <c r="M215" s="119">
        <f t="shared" si="48"/>
        <v>414</v>
      </c>
      <c r="N215" s="104" t="s">
        <v>236</v>
      </c>
      <c r="O215" s="120">
        <v>0.1</v>
      </c>
      <c r="P215" s="104" t="s">
        <v>162</v>
      </c>
      <c r="Q215" s="150">
        <f t="shared" si="34"/>
        <v>41.400000000000006</v>
      </c>
      <c r="R215" s="148"/>
      <c r="S215" s="150">
        <f t="shared" si="35"/>
        <v>41.400000000000006</v>
      </c>
      <c r="T215" s="149" t="s">
        <v>48</v>
      </c>
    </row>
    <row r="216" spans="3:20" ht="20.25" customHeight="1">
      <c r="C216" s="96"/>
      <c r="D216" s="102">
        <f t="shared" si="45"/>
        <v>216</v>
      </c>
      <c r="E216" s="106" t="s">
        <v>244</v>
      </c>
      <c r="F216" s="108">
        <f t="shared" si="36"/>
        <v>215</v>
      </c>
      <c r="G216" s="105" t="s">
        <v>238</v>
      </c>
      <c r="H216" s="105"/>
      <c r="I216" s="104"/>
      <c r="J216" s="104"/>
      <c r="K216" s="118">
        <v>414</v>
      </c>
      <c r="L216" s="118" t="s">
        <v>81</v>
      </c>
      <c r="M216" s="119">
        <f t="shared" si="48"/>
        <v>414</v>
      </c>
      <c r="N216" s="104" t="s">
        <v>236</v>
      </c>
      <c r="O216" s="120">
        <v>0.1</v>
      </c>
      <c r="P216" s="104" t="s">
        <v>162</v>
      </c>
      <c r="Q216" s="150">
        <f t="shared" si="34"/>
        <v>41.400000000000006</v>
      </c>
      <c r="R216" s="148"/>
      <c r="S216" s="150">
        <f t="shared" si="35"/>
        <v>41.400000000000006</v>
      </c>
      <c r="T216" s="149" t="s">
        <v>48</v>
      </c>
    </row>
    <row r="217" spans="3:20" ht="20.25" customHeight="1">
      <c r="C217" s="96"/>
      <c r="D217" s="102">
        <f t="shared" si="45"/>
        <v>217</v>
      </c>
      <c r="E217" s="106" t="s">
        <v>245</v>
      </c>
      <c r="F217" s="108">
        <f t="shared" si="36"/>
        <v>216</v>
      </c>
      <c r="G217" s="105" t="s">
        <v>217</v>
      </c>
      <c r="H217" s="105"/>
      <c r="I217" s="104"/>
      <c r="J217" s="104"/>
      <c r="K217" s="118">
        <v>414</v>
      </c>
      <c r="L217" s="118" t="s">
        <v>81</v>
      </c>
      <c r="M217" s="119">
        <f t="shared" si="48"/>
        <v>414</v>
      </c>
      <c r="N217" s="104" t="s">
        <v>81</v>
      </c>
      <c r="O217" s="162">
        <f>1/60</f>
        <v>1.6666666666666666E-2</v>
      </c>
      <c r="P217" s="104" t="s">
        <v>162</v>
      </c>
      <c r="Q217" s="150">
        <f t="shared" si="34"/>
        <v>6.8999999999999995</v>
      </c>
      <c r="R217" s="148"/>
      <c r="S217" s="150">
        <f t="shared" si="35"/>
        <v>6.8999999999999995</v>
      </c>
      <c r="T217" s="149" t="s">
        <v>48</v>
      </c>
    </row>
    <row r="218" spans="3:20" ht="20.25" customHeight="1">
      <c r="C218" s="96">
        <f>D218</f>
        <v>218</v>
      </c>
      <c r="D218" s="102">
        <f t="shared" si="45"/>
        <v>218</v>
      </c>
      <c r="E218" s="103" t="s">
        <v>246</v>
      </c>
      <c r="F218" s="108">
        <f>D16</f>
        <v>16</v>
      </c>
      <c r="G218" s="105"/>
      <c r="H218" s="105"/>
      <c r="I218" s="104"/>
      <c r="J218" s="104"/>
      <c r="K218" s="118"/>
      <c r="L218" s="118"/>
      <c r="M218" s="119"/>
      <c r="N218" s="104"/>
      <c r="O218" s="120"/>
      <c r="P218" s="104"/>
      <c r="Q218" s="150"/>
      <c r="R218" s="148"/>
      <c r="S218" s="150"/>
      <c r="T218" s="149"/>
    </row>
    <row r="219" spans="3:20" ht="20.25" customHeight="1">
      <c r="C219" s="96"/>
      <c r="D219" s="102">
        <f t="shared" si="45"/>
        <v>219</v>
      </c>
      <c r="E219" s="106" t="s">
        <v>247</v>
      </c>
      <c r="F219" s="108">
        <f t="shared" si="36"/>
        <v>218</v>
      </c>
      <c r="G219" s="105" t="s">
        <v>44</v>
      </c>
      <c r="H219" s="105"/>
      <c r="I219" s="104">
        <v>8</v>
      </c>
      <c r="J219" s="104" t="s">
        <v>248</v>
      </c>
      <c r="K219" s="118">
        <v>2</v>
      </c>
      <c r="L219" s="118" t="s">
        <v>81</v>
      </c>
      <c r="M219" s="128">
        <f>LEFT(J219,SEARCH(" ",J219,1)-1)*K219*0.001</f>
        <v>19.044</v>
      </c>
      <c r="N219" s="104" t="s">
        <v>249</v>
      </c>
      <c r="O219" s="162">
        <f>VLOOKUP(I219,BM!$B$3:$Y$62,2,FALSE)</f>
        <v>0.1</v>
      </c>
      <c r="P219" s="104" t="s">
        <v>162</v>
      </c>
      <c r="Q219" s="150">
        <f t="shared" si="34"/>
        <v>1.9044000000000001</v>
      </c>
      <c r="R219" s="148"/>
      <c r="S219" s="150">
        <f t="shared" si="35"/>
        <v>1.9044000000000001</v>
      </c>
      <c r="T219" s="149" t="s">
        <v>48</v>
      </c>
    </row>
    <row r="220" spans="3:20" ht="20.25" customHeight="1">
      <c r="C220" s="96"/>
      <c r="D220" s="102">
        <f t="shared" si="45"/>
        <v>220</v>
      </c>
      <c r="E220" s="106" t="s">
        <v>250</v>
      </c>
      <c r="F220" s="108">
        <f t="shared" si="36"/>
        <v>219</v>
      </c>
      <c r="G220" s="105" t="s">
        <v>52</v>
      </c>
      <c r="H220" s="105"/>
      <c r="I220" s="104">
        <v>25</v>
      </c>
      <c r="J220" s="104" t="str">
        <f t="shared" ref="J220:J224" si="49">J219</f>
        <v>9522 mm</v>
      </c>
      <c r="K220" s="118">
        <v>2</v>
      </c>
      <c r="L220" s="118" t="s">
        <v>81</v>
      </c>
      <c r="M220" s="128">
        <f>LEFT(J220,SEARCH(" ",J220,1)-1)*K220*0.001</f>
        <v>19.044</v>
      </c>
      <c r="N220" s="104" t="s">
        <v>249</v>
      </c>
      <c r="O220" s="162">
        <f>VLOOKUP(I220,BM!$B$3:$Y$62,3,FALSE)</f>
        <v>0.25</v>
      </c>
      <c r="P220" s="104" t="s">
        <v>162</v>
      </c>
      <c r="Q220" s="150">
        <f t="shared" ref="Q220:Q282" si="50">M220*O220</f>
        <v>4.7610000000000001</v>
      </c>
      <c r="R220" s="148"/>
      <c r="S220" s="150">
        <f t="shared" ref="S220:S282" si="51">Q220+R220</f>
        <v>4.7610000000000001</v>
      </c>
      <c r="T220" s="149" t="s">
        <v>48</v>
      </c>
    </row>
    <row r="221" spans="3:20" ht="20.25" customHeight="1">
      <c r="C221" s="96"/>
      <c r="D221" s="102">
        <f t="shared" si="45"/>
        <v>221</v>
      </c>
      <c r="E221" s="106" t="s">
        <v>251</v>
      </c>
      <c r="F221" s="108">
        <f t="shared" ref="F221:F284" si="52">D220</f>
        <v>220</v>
      </c>
      <c r="G221" s="105" t="s">
        <v>201</v>
      </c>
      <c r="H221" s="105"/>
      <c r="I221" s="104">
        <v>25</v>
      </c>
      <c r="J221" s="104" t="str">
        <f t="shared" si="49"/>
        <v>9522 mm</v>
      </c>
      <c r="K221" s="118">
        <v>2</v>
      </c>
      <c r="L221" s="118" t="s">
        <v>81</v>
      </c>
      <c r="M221" s="142">
        <f>K221</f>
        <v>2</v>
      </c>
      <c r="N221" s="104" t="s">
        <v>81</v>
      </c>
      <c r="O221" s="120">
        <v>2</v>
      </c>
      <c r="P221" s="104" t="s">
        <v>162</v>
      </c>
      <c r="Q221" s="150">
        <f t="shared" si="50"/>
        <v>4</v>
      </c>
      <c r="R221" s="148"/>
      <c r="S221" s="150">
        <f t="shared" si="51"/>
        <v>4</v>
      </c>
      <c r="T221" s="149" t="s">
        <v>48</v>
      </c>
    </row>
    <row r="222" spans="3:20" ht="20.25" customHeight="1">
      <c r="C222" s="96"/>
      <c r="D222" s="102">
        <f t="shared" si="45"/>
        <v>222</v>
      </c>
      <c r="E222" s="106" t="s">
        <v>252</v>
      </c>
      <c r="F222" s="108">
        <f t="shared" si="52"/>
        <v>221</v>
      </c>
      <c r="G222" s="105" t="s">
        <v>61</v>
      </c>
      <c r="H222" s="105"/>
      <c r="I222" s="104">
        <v>25</v>
      </c>
      <c r="J222" s="104" t="str">
        <f t="shared" si="49"/>
        <v>9522 mm</v>
      </c>
      <c r="K222" s="118">
        <v>2</v>
      </c>
      <c r="L222" s="118" t="s">
        <v>81</v>
      </c>
      <c r="M222" s="119">
        <v>4</v>
      </c>
      <c r="N222" s="104" t="s">
        <v>81</v>
      </c>
      <c r="O222" s="120">
        <v>4</v>
      </c>
      <c r="P222" s="104" t="s">
        <v>162</v>
      </c>
      <c r="Q222" s="150">
        <f t="shared" si="50"/>
        <v>16</v>
      </c>
      <c r="R222" s="148"/>
      <c r="S222" s="150">
        <f t="shared" si="51"/>
        <v>16</v>
      </c>
      <c r="T222" s="149" t="s">
        <v>48</v>
      </c>
    </row>
    <row r="223" spans="3:20" ht="20.25" customHeight="1">
      <c r="C223" s="96"/>
      <c r="D223" s="102">
        <f t="shared" si="45"/>
        <v>223</v>
      </c>
      <c r="E223" s="106" t="s">
        <v>253</v>
      </c>
      <c r="F223" s="108">
        <f t="shared" si="52"/>
        <v>222</v>
      </c>
      <c r="G223" s="105" t="s">
        <v>240</v>
      </c>
      <c r="H223" s="105"/>
      <c r="I223" s="104">
        <v>25</v>
      </c>
      <c r="J223" s="104" t="str">
        <f t="shared" si="49"/>
        <v>9522 mm</v>
      </c>
      <c r="K223" s="118">
        <v>2</v>
      </c>
      <c r="L223" s="118" t="s">
        <v>81</v>
      </c>
      <c r="M223" s="119">
        <v>4</v>
      </c>
      <c r="N223" s="104" t="s">
        <v>81</v>
      </c>
      <c r="O223" s="120">
        <v>1</v>
      </c>
      <c r="P223" s="104" t="s">
        <v>162</v>
      </c>
      <c r="Q223" s="150">
        <f t="shared" si="50"/>
        <v>4</v>
      </c>
      <c r="R223" s="148"/>
      <c r="S223" s="150">
        <f t="shared" si="51"/>
        <v>4</v>
      </c>
      <c r="T223" s="149" t="s">
        <v>48</v>
      </c>
    </row>
    <row r="224" spans="3:20" ht="20.25" customHeight="1">
      <c r="C224" s="96"/>
      <c r="D224" s="102">
        <f t="shared" si="45"/>
        <v>224</v>
      </c>
      <c r="E224" s="106" t="s">
        <v>254</v>
      </c>
      <c r="F224" s="108">
        <f t="shared" si="52"/>
        <v>223</v>
      </c>
      <c r="G224" s="105" t="s">
        <v>61</v>
      </c>
      <c r="H224" s="105"/>
      <c r="I224" s="104">
        <v>25</v>
      </c>
      <c r="J224" s="104" t="str">
        <f t="shared" si="49"/>
        <v>9522 mm</v>
      </c>
      <c r="K224" s="118">
        <v>2</v>
      </c>
      <c r="L224" s="118" t="s">
        <v>81</v>
      </c>
      <c r="M224" s="119">
        <v>4</v>
      </c>
      <c r="N224" s="104" t="s">
        <v>81</v>
      </c>
      <c r="O224" s="120">
        <v>1</v>
      </c>
      <c r="P224" s="104" t="s">
        <v>162</v>
      </c>
      <c r="Q224" s="150">
        <f t="shared" si="50"/>
        <v>4</v>
      </c>
      <c r="R224" s="148"/>
      <c r="S224" s="150">
        <f t="shared" si="51"/>
        <v>4</v>
      </c>
      <c r="T224" s="149" t="s">
        <v>48</v>
      </c>
    </row>
    <row r="225" spans="3:20" ht="20.25" customHeight="1">
      <c r="C225" s="96">
        <f>D225</f>
        <v>225</v>
      </c>
      <c r="D225" s="102">
        <f t="shared" si="45"/>
        <v>225</v>
      </c>
      <c r="E225" s="103" t="s">
        <v>255</v>
      </c>
      <c r="F225" s="108">
        <f>D17</f>
        <v>17</v>
      </c>
      <c r="G225" s="105"/>
      <c r="H225" s="105"/>
      <c r="I225" s="104"/>
      <c r="J225" s="104"/>
      <c r="K225" s="118"/>
      <c r="L225" s="118"/>
      <c r="M225" s="119"/>
      <c r="N225" s="104"/>
      <c r="O225" s="120"/>
      <c r="P225" s="104"/>
      <c r="Q225" s="150"/>
      <c r="R225" s="148"/>
      <c r="S225" s="150"/>
      <c r="T225" s="149"/>
    </row>
    <row r="226" spans="3:20" ht="20.25" customHeight="1">
      <c r="C226" s="96"/>
      <c r="D226" s="102">
        <f t="shared" si="45"/>
        <v>226</v>
      </c>
      <c r="E226" s="106" t="s">
        <v>256</v>
      </c>
      <c r="F226" s="108">
        <f t="shared" si="52"/>
        <v>225</v>
      </c>
      <c r="G226" s="105" t="s">
        <v>44</v>
      </c>
      <c r="H226" s="105"/>
      <c r="I226" s="104">
        <v>8</v>
      </c>
      <c r="J226" s="104" t="s">
        <v>257</v>
      </c>
      <c r="K226" s="118">
        <v>2</v>
      </c>
      <c r="L226" s="118" t="s">
        <v>81</v>
      </c>
      <c r="M226" s="128">
        <f>LEFT(J226,SEARCH(" ",J226,1)-1)*K226*0.001</f>
        <v>26.731999999999999</v>
      </c>
      <c r="N226" s="104" t="s">
        <v>249</v>
      </c>
      <c r="O226" s="162">
        <f>VLOOKUP(I226,BM!$B$3:$Y$62,2,FALSE)</f>
        <v>0.1</v>
      </c>
      <c r="P226" s="104" t="s">
        <v>162</v>
      </c>
      <c r="Q226" s="150">
        <f t="shared" si="50"/>
        <v>2.6732</v>
      </c>
      <c r="R226" s="148"/>
      <c r="S226" s="150">
        <f t="shared" si="51"/>
        <v>2.6732</v>
      </c>
      <c r="T226" s="149" t="s">
        <v>48</v>
      </c>
    </row>
    <row r="227" spans="3:20" ht="20.25" customHeight="1">
      <c r="C227" s="96"/>
      <c r="D227" s="102">
        <f t="shared" si="45"/>
        <v>227</v>
      </c>
      <c r="E227" s="106" t="s">
        <v>258</v>
      </c>
      <c r="F227" s="108">
        <f t="shared" si="52"/>
        <v>226</v>
      </c>
      <c r="G227" s="105" t="s">
        <v>52</v>
      </c>
      <c r="H227" s="105"/>
      <c r="I227" s="108">
        <f t="shared" ref="I227:K231" si="53">I226</f>
        <v>8</v>
      </c>
      <c r="J227" s="108" t="str">
        <f t="shared" si="53"/>
        <v>13366 mm</v>
      </c>
      <c r="K227" s="164">
        <f t="shared" si="53"/>
        <v>2</v>
      </c>
      <c r="L227" s="118" t="s">
        <v>81</v>
      </c>
      <c r="M227" s="128">
        <f>LEFT(J227,SEARCH(" ",J227,1)-1)*K227*0.001</f>
        <v>26.731999999999999</v>
      </c>
      <c r="N227" s="104" t="s">
        <v>249</v>
      </c>
      <c r="O227" s="162">
        <f>VLOOKUP(I227,BM!$B$3:$Y$62,3,FALSE)</f>
        <v>0.25</v>
      </c>
      <c r="P227" s="104" t="s">
        <v>162</v>
      </c>
      <c r="Q227" s="150">
        <f t="shared" si="50"/>
        <v>6.6829999999999998</v>
      </c>
      <c r="R227" s="148"/>
      <c r="S227" s="150">
        <f t="shared" si="51"/>
        <v>6.6829999999999998</v>
      </c>
      <c r="T227" s="149" t="s">
        <v>48</v>
      </c>
    </row>
    <row r="228" spans="3:20" ht="20.25" customHeight="1">
      <c r="C228" s="96"/>
      <c r="D228" s="102">
        <f t="shared" si="45"/>
        <v>228</v>
      </c>
      <c r="E228" s="106" t="s">
        <v>259</v>
      </c>
      <c r="F228" s="108">
        <f t="shared" si="52"/>
        <v>227</v>
      </c>
      <c r="G228" s="105" t="s">
        <v>201</v>
      </c>
      <c r="H228" s="105"/>
      <c r="I228" s="108">
        <f t="shared" si="53"/>
        <v>8</v>
      </c>
      <c r="J228" s="108" t="str">
        <f t="shared" si="53"/>
        <v>13366 mm</v>
      </c>
      <c r="K228" s="164">
        <f t="shared" si="53"/>
        <v>2</v>
      </c>
      <c r="L228" s="118" t="s">
        <v>81</v>
      </c>
      <c r="M228" s="142">
        <f>K228</f>
        <v>2</v>
      </c>
      <c r="N228" s="104" t="s">
        <v>81</v>
      </c>
      <c r="O228" s="120">
        <v>2</v>
      </c>
      <c r="P228" s="104" t="s">
        <v>162</v>
      </c>
      <c r="Q228" s="150">
        <f t="shared" si="50"/>
        <v>4</v>
      </c>
      <c r="R228" s="148"/>
      <c r="S228" s="150">
        <f t="shared" si="51"/>
        <v>4</v>
      </c>
      <c r="T228" s="149" t="s">
        <v>48</v>
      </c>
    </row>
    <row r="229" spans="3:20" ht="20.25" customHeight="1">
      <c r="C229" s="96"/>
      <c r="D229" s="102">
        <f t="shared" si="45"/>
        <v>229</v>
      </c>
      <c r="E229" s="106" t="s">
        <v>260</v>
      </c>
      <c r="F229" s="108">
        <f t="shared" si="52"/>
        <v>228</v>
      </c>
      <c r="G229" s="105" t="s">
        <v>61</v>
      </c>
      <c r="H229" s="105"/>
      <c r="I229" s="108">
        <f t="shared" si="53"/>
        <v>8</v>
      </c>
      <c r="J229" s="108" t="str">
        <f t="shared" si="53"/>
        <v>13366 mm</v>
      </c>
      <c r="K229" s="164">
        <f t="shared" si="53"/>
        <v>2</v>
      </c>
      <c r="L229" s="118" t="s">
        <v>81</v>
      </c>
      <c r="M229" s="119">
        <v>4</v>
      </c>
      <c r="N229" s="104" t="s">
        <v>81</v>
      </c>
      <c r="O229" s="120">
        <v>4</v>
      </c>
      <c r="P229" s="104" t="s">
        <v>162</v>
      </c>
      <c r="Q229" s="150">
        <f t="shared" si="50"/>
        <v>16</v>
      </c>
      <c r="R229" s="148"/>
      <c r="S229" s="150">
        <f t="shared" si="51"/>
        <v>16</v>
      </c>
      <c r="T229" s="149" t="s">
        <v>48</v>
      </c>
    </row>
    <row r="230" spans="3:20" ht="20.25" customHeight="1">
      <c r="C230" s="96"/>
      <c r="D230" s="102">
        <f t="shared" si="45"/>
        <v>230</v>
      </c>
      <c r="E230" s="106" t="s">
        <v>261</v>
      </c>
      <c r="F230" s="108">
        <f t="shared" si="52"/>
        <v>229</v>
      </c>
      <c r="G230" s="105" t="s">
        <v>240</v>
      </c>
      <c r="H230" s="105"/>
      <c r="I230" s="108">
        <f t="shared" si="53"/>
        <v>8</v>
      </c>
      <c r="J230" s="108" t="str">
        <f t="shared" si="53"/>
        <v>13366 mm</v>
      </c>
      <c r="K230" s="164">
        <f t="shared" si="53"/>
        <v>2</v>
      </c>
      <c r="L230" s="118" t="s">
        <v>81</v>
      </c>
      <c r="M230" s="119">
        <v>4</v>
      </c>
      <c r="N230" s="104" t="s">
        <v>81</v>
      </c>
      <c r="O230" s="120">
        <v>1</v>
      </c>
      <c r="P230" s="104" t="s">
        <v>162</v>
      </c>
      <c r="Q230" s="150">
        <f t="shared" si="50"/>
        <v>4</v>
      </c>
      <c r="R230" s="148"/>
      <c r="S230" s="150">
        <f t="shared" si="51"/>
        <v>4</v>
      </c>
      <c r="T230" s="149" t="s">
        <v>48</v>
      </c>
    </row>
    <row r="231" spans="3:20" ht="20.25" customHeight="1">
      <c r="C231" s="96"/>
      <c r="D231" s="102">
        <f t="shared" si="45"/>
        <v>231</v>
      </c>
      <c r="E231" s="106" t="s">
        <v>262</v>
      </c>
      <c r="F231" s="108">
        <f t="shared" si="52"/>
        <v>230</v>
      </c>
      <c r="G231" s="105" t="s">
        <v>61</v>
      </c>
      <c r="H231" s="105"/>
      <c r="I231" s="108">
        <f t="shared" si="53"/>
        <v>8</v>
      </c>
      <c r="J231" s="108" t="str">
        <f t="shared" si="53"/>
        <v>13366 mm</v>
      </c>
      <c r="K231" s="164">
        <f t="shared" si="53"/>
        <v>2</v>
      </c>
      <c r="L231" s="118" t="s">
        <v>81</v>
      </c>
      <c r="M231" s="119">
        <v>4</v>
      </c>
      <c r="N231" s="104" t="s">
        <v>81</v>
      </c>
      <c r="O231" s="120">
        <v>1</v>
      </c>
      <c r="P231" s="104" t="s">
        <v>162</v>
      </c>
      <c r="Q231" s="150">
        <f t="shared" si="50"/>
        <v>4</v>
      </c>
      <c r="R231" s="148"/>
      <c r="S231" s="150">
        <f t="shared" si="51"/>
        <v>4</v>
      </c>
      <c r="T231" s="149" t="s">
        <v>48</v>
      </c>
    </row>
    <row r="232" spans="3:20" ht="20.25" customHeight="1">
      <c r="C232" s="96">
        <f>D232</f>
        <v>232</v>
      </c>
      <c r="D232" s="102">
        <f t="shared" si="45"/>
        <v>232</v>
      </c>
      <c r="E232" s="103" t="s">
        <v>263</v>
      </c>
      <c r="F232" s="108">
        <f>D18</f>
        <v>18</v>
      </c>
      <c r="G232" s="105"/>
      <c r="H232" s="105"/>
      <c r="I232" s="104"/>
      <c r="J232" s="104"/>
      <c r="K232" s="118"/>
      <c r="L232" s="118"/>
      <c r="M232" s="119"/>
      <c r="N232" s="104"/>
      <c r="O232" s="120"/>
      <c r="P232" s="104"/>
      <c r="Q232" s="150"/>
      <c r="R232" s="148"/>
      <c r="S232" s="150"/>
      <c r="T232" s="149"/>
    </row>
    <row r="233" spans="3:20" ht="20.25" customHeight="1">
      <c r="C233" s="96"/>
      <c r="D233" s="102">
        <f t="shared" si="45"/>
        <v>233</v>
      </c>
      <c r="E233" s="106" t="s">
        <v>264</v>
      </c>
      <c r="F233" s="108">
        <f t="shared" si="52"/>
        <v>232</v>
      </c>
      <c r="G233" s="105" t="s">
        <v>37</v>
      </c>
      <c r="H233" s="105"/>
      <c r="I233" s="104"/>
      <c r="J233" s="104"/>
      <c r="K233" s="118">
        <v>1</v>
      </c>
      <c r="L233" s="118" t="s">
        <v>84</v>
      </c>
      <c r="M233" s="119">
        <v>1</v>
      </c>
      <c r="N233" s="104"/>
      <c r="O233" s="120">
        <v>4</v>
      </c>
      <c r="P233" s="104" t="s">
        <v>41</v>
      </c>
      <c r="Q233" s="150">
        <f t="shared" si="50"/>
        <v>4</v>
      </c>
      <c r="R233" s="148"/>
      <c r="S233" s="150">
        <f t="shared" si="51"/>
        <v>4</v>
      </c>
      <c r="T233" s="149" t="s">
        <v>42</v>
      </c>
    </row>
    <row r="234" spans="3:20" ht="20.25" customHeight="1">
      <c r="C234" s="96"/>
      <c r="D234" s="102">
        <f t="shared" si="45"/>
        <v>234</v>
      </c>
      <c r="E234" s="106" t="s">
        <v>265</v>
      </c>
      <c r="F234" s="108">
        <f t="shared" si="52"/>
        <v>233</v>
      </c>
      <c r="G234" s="105" t="s">
        <v>44</v>
      </c>
      <c r="H234" s="105"/>
      <c r="I234" s="104" t="s">
        <v>266</v>
      </c>
      <c r="J234" s="108">
        <v>14</v>
      </c>
      <c r="K234" s="118">
        <v>14</v>
      </c>
      <c r="L234" s="118" t="s">
        <v>81</v>
      </c>
      <c r="M234" s="142">
        <f>K234</f>
        <v>14</v>
      </c>
      <c r="N234" s="104" t="s">
        <v>81</v>
      </c>
      <c r="O234" s="120">
        <v>0.25</v>
      </c>
      <c r="P234" s="104" t="s">
        <v>162</v>
      </c>
      <c r="Q234" s="150">
        <f t="shared" si="50"/>
        <v>3.5</v>
      </c>
      <c r="R234" s="148"/>
      <c r="S234" s="150">
        <f t="shared" si="51"/>
        <v>3.5</v>
      </c>
      <c r="T234" s="149" t="s">
        <v>48</v>
      </c>
    </row>
    <row r="235" spans="3:20" ht="20.25" customHeight="1">
      <c r="C235" s="96"/>
      <c r="D235" s="102">
        <f t="shared" si="45"/>
        <v>235</v>
      </c>
      <c r="E235" s="106" t="s">
        <v>267</v>
      </c>
      <c r="F235" s="108">
        <f t="shared" si="52"/>
        <v>234</v>
      </c>
      <c r="G235" s="105" t="s">
        <v>44</v>
      </c>
      <c r="H235" s="105"/>
      <c r="I235" s="108" t="str">
        <f t="shared" ref="I235:K236" si="54">I234</f>
        <v>25.4 dia</v>
      </c>
      <c r="J235" s="108">
        <f t="shared" si="54"/>
        <v>14</v>
      </c>
      <c r="K235" s="164">
        <f t="shared" si="54"/>
        <v>14</v>
      </c>
      <c r="L235" s="118" t="s">
        <v>81</v>
      </c>
      <c r="M235" s="142">
        <f>K235</f>
        <v>14</v>
      </c>
      <c r="N235" s="104" t="s">
        <v>81</v>
      </c>
      <c r="O235" s="120">
        <v>0.5</v>
      </c>
      <c r="P235" s="104" t="s">
        <v>162</v>
      </c>
      <c r="Q235" s="150">
        <f t="shared" si="50"/>
        <v>7</v>
      </c>
      <c r="R235" s="148"/>
      <c r="S235" s="150">
        <f t="shared" si="51"/>
        <v>7</v>
      </c>
      <c r="T235" s="149" t="s">
        <v>48</v>
      </c>
    </row>
    <row r="236" spans="3:20" ht="20.25" customHeight="1">
      <c r="C236" s="96"/>
      <c r="D236" s="102">
        <f t="shared" si="45"/>
        <v>236</v>
      </c>
      <c r="E236" s="106" t="s">
        <v>268</v>
      </c>
      <c r="F236" s="108">
        <f t="shared" si="52"/>
        <v>235</v>
      </c>
      <c r="G236" s="105" t="s">
        <v>201</v>
      </c>
      <c r="H236" s="105"/>
      <c r="I236" s="108" t="str">
        <f t="shared" si="54"/>
        <v>25.4 dia</v>
      </c>
      <c r="J236" s="108">
        <f t="shared" si="54"/>
        <v>14</v>
      </c>
      <c r="K236" s="164">
        <f t="shared" si="54"/>
        <v>14</v>
      </c>
      <c r="L236" s="118" t="s">
        <v>81</v>
      </c>
      <c r="M236" s="142">
        <f>K236</f>
        <v>14</v>
      </c>
      <c r="N236" s="104" t="s">
        <v>81</v>
      </c>
      <c r="O236" s="120">
        <v>1</v>
      </c>
      <c r="P236" s="104" t="s">
        <v>162</v>
      </c>
      <c r="Q236" s="150">
        <f t="shared" si="50"/>
        <v>14</v>
      </c>
      <c r="R236" s="148"/>
      <c r="S236" s="150">
        <f t="shared" si="51"/>
        <v>14</v>
      </c>
      <c r="T236" s="149" t="s">
        <v>48</v>
      </c>
    </row>
    <row r="237" spans="3:20" ht="20.25" customHeight="1">
      <c r="C237" s="96">
        <f t="shared" ref="C237:C238" si="55">D237</f>
        <v>237</v>
      </c>
      <c r="D237" s="102">
        <f t="shared" si="45"/>
        <v>237</v>
      </c>
      <c r="E237" s="165" t="s">
        <v>269</v>
      </c>
      <c r="F237" s="108">
        <f t="shared" si="52"/>
        <v>236</v>
      </c>
      <c r="G237" s="105"/>
      <c r="H237" s="105"/>
      <c r="I237" s="104"/>
      <c r="J237" s="104"/>
      <c r="K237" s="118"/>
      <c r="L237" s="118"/>
      <c r="M237" s="119"/>
      <c r="N237" s="104"/>
      <c r="O237" s="120"/>
      <c r="P237" s="104"/>
      <c r="Q237" s="150"/>
      <c r="R237" s="148"/>
      <c r="S237" s="150"/>
      <c r="T237" s="149"/>
    </row>
    <row r="238" spans="3:20" ht="20.25" customHeight="1">
      <c r="C238" s="96">
        <f t="shared" si="55"/>
        <v>238</v>
      </c>
      <c r="D238" s="102">
        <f t="shared" si="45"/>
        <v>238</v>
      </c>
      <c r="E238" s="103" t="s">
        <v>751</v>
      </c>
      <c r="F238" s="108">
        <f>D3</f>
        <v>3</v>
      </c>
      <c r="G238" s="105"/>
      <c r="H238" s="105"/>
      <c r="I238" s="104"/>
      <c r="J238" s="104"/>
      <c r="K238" s="118"/>
      <c r="L238" s="118"/>
      <c r="M238" s="119"/>
      <c r="N238" s="104"/>
      <c r="O238" s="120"/>
      <c r="P238" s="104"/>
      <c r="Q238" s="150"/>
      <c r="R238" s="148"/>
      <c r="S238" s="150"/>
      <c r="T238" s="149"/>
    </row>
    <row r="239" spans="3:20" ht="20.25" customHeight="1">
      <c r="C239" s="96"/>
      <c r="D239" s="102">
        <f t="shared" si="45"/>
        <v>239</v>
      </c>
      <c r="E239" s="106" t="s">
        <v>271</v>
      </c>
      <c r="F239" s="108">
        <f t="shared" si="52"/>
        <v>238</v>
      </c>
      <c r="G239" s="105" t="s">
        <v>37</v>
      </c>
      <c r="H239" s="105"/>
      <c r="I239" s="104"/>
      <c r="J239" s="104"/>
      <c r="K239" s="118">
        <v>1</v>
      </c>
      <c r="L239" s="118" t="s">
        <v>84</v>
      </c>
      <c r="M239" s="119">
        <v>1</v>
      </c>
      <c r="N239" s="104"/>
      <c r="O239" s="120">
        <v>4</v>
      </c>
      <c r="P239" s="104" t="s">
        <v>41</v>
      </c>
      <c r="Q239" s="150">
        <f t="shared" si="50"/>
        <v>4</v>
      </c>
      <c r="R239" s="148"/>
      <c r="S239" s="150">
        <f t="shared" si="51"/>
        <v>4</v>
      </c>
      <c r="T239" s="149" t="s">
        <v>41</v>
      </c>
    </row>
    <row r="240" spans="3:20" ht="20.25" customHeight="1">
      <c r="C240" s="96"/>
      <c r="D240" s="102">
        <f t="shared" si="45"/>
        <v>240</v>
      </c>
      <c r="E240" s="106" t="s">
        <v>272</v>
      </c>
      <c r="F240" s="108">
        <f t="shared" si="52"/>
        <v>239</v>
      </c>
      <c r="G240" s="105" t="s">
        <v>201</v>
      </c>
      <c r="H240" s="105"/>
      <c r="I240" s="104">
        <v>18</v>
      </c>
      <c r="J240" s="108" t="s">
        <v>273</v>
      </c>
      <c r="K240" s="118">
        <v>1</v>
      </c>
      <c r="L240" s="118" t="s">
        <v>81</v>
      </c>
      <c r="M240" s="128">
        <f>LEFT(J240,SEARCH(" ",J240,1)-1)*K240*0.001</f>
        <v>43</v>
      </c>
      <c r="N240" s="104" t="s">
        <v>139</v>
      </c>
      <c r="O240" s="162">
        <f>VLOOKUP(I240,BM!$B$3:$Y$62,2,FALSE)</f>
        <v>0.1</v>
      </c>
      <c r="P240" s="104" t="s">
        <v>112</v>
      </c>
      <c r="Q240" s="150">
        <f t="shared" si="50"/>
        <v>4.3</v>
      </c>
      <c r="R240" s="148">
        <v>1</v>
      </c>
      <c r="S240" s="150">
        <f t="shared" si="51"/>
        <v>5.3</v>
      </c>
      <c r="T240" s="149" t="s">
        <v>48</v>
      </c>
    </row>
    <row r="241" spans="3:20" ht="20.25" customHeight="1">
      <c r="C241" s="96">
        <f>D241</f>
        <v>241</v>
      </c>
      <c r="D241" s="102">
        <f t="shared" si="45"/>
        <v>241</v>
      </c>
      <c r="E241" s="103" t="s">
        <v>752</v>
      </c>
      <c r="F241" s="108">
        <f>D238</f>
        <v>238</v>
      </c>
      <c r="G241" s="105"/>
      <c r="H241" s="105"/>
      <c r="I241" s="104"/>
      <c r="J241" s="104"/>
      <c r="K241" s="118"/>
      <c r="L241" s="118"/>
      <c r="M241" s="119"/>
      <c r="N241" s="104"/>
      <c r="O241" s="120"/>
      <c r="P241" s="104"/>
      <c r="Q241" s="150"/>
      <c r="R241" s="148"/>
      <c r="S241" s="150"/>
      <c r="T241" s="149"/>
    </row>
    <row r="242" spans="3:20" ht="20.25" customHeight="1">
      <c r="C242" s="96"/>
      <c r="D242" s="102">
        <f t="shared" si="45"/>
        <v>242</v>
      </c>
      <c r="E242" s="106" t="s">
        <v>275</v>
      </c>
      <c r="F242" s="108">
        <f t="shared" si="52"/>
        <v>241</v>
      </c>
      <c r="G242" s="105" t="s">
        <v>276</v>
      </c>
      <c r="H242" s="105"/>
      <c r="I242" s="104">
        <v>18</v>
      </c>
      <c r="J242" s="108" t="str">
        <f>J240</f>
        <v>43000 mm</v>
      </c>
      <c r="K242" s="118">
        <v>3</v>
      </c>
      <c r="L242" s="118" t="s">
        <v>81</v>
      </c>
      <c r="M242" s="128">
        <f>LEFT(J242,SEARCH(" ",J242,1)-1)*K242*0.001</f>
        <v>129</v>
      </c>
      <c r="N242" s="104" t="s">
        <v>139</v>
      </c>
      <c r="O242" s="162">
        <f>VLOOKUP(I242,BM!$B$3:$Y$62,3,FALSE)</f>
        <v>0.25</v>
      </c>
      <c r="P242" s="104" t="s">
        <v>112</v>
      </c>
      <c r="Q242" s="150">
        <f t="shared" si="50"/>
        <v>32.25</v>
      </c>
      <c r="R242" s="148">
        <v>1</v>
      </c>
      <c r="S242" s="150">
        <f t="shared" si="51"/>
        <v>33.25</v>
      </c>
      <c r="T242" s="149" t="s">
        <v>48</v>
      </c>
    </row>
    <row r="243" spans="3:20" ht="20.25" customHeight="1">
      <c r="C243" s="96">
        <f>D243</f>
        <v>243</v>
      </c>
      <c r="D243" s="102">
        <f t="shared" si="45"/>
        <v>243</v>
      </c>
      <c r="E243" s="103" t="s">
        <v>277</v>
      </c>
      <c r="F243" s="108">
        <f>D241</f>
        <v>241</v>
      </c>
      <c r="G243" s="105"/>
      <c r="H243" s="105"/>
      <c r="I243" s="104"/>
      <c r="J243" s="104"/>
      <c r="K243" s="118"/>
      <c r="L243" s="118"/>
      <c r="M243" s="119"/>
      <c r="N243" s="104"/>
      <c r="O243" s="120"/>
      <c r="P243" s="104"/>
      <c r="Q243" s="150"/>
      <c r="R243" s="148"/>
      <c r="S243" s="150"/>
      <c r="T243" s="149"/>
    </row>
    <row r="244" spans="3:20" ht="20.25" customHeight="1">
      <c r="C244" s="96"/>
      <c r="D244" s="102">
        <f t="shared" si="45"/>
        <v>244</v>
      </c>
      <c r="E244" s="106" t="s">
        <v>278</v>
      </c>
      <c r="F244" s="108">
        <f t="shared" si="52"/>
        <v>243</v>
      </c>
      <c r="G244" s="105" t="s">
        <v>224</v>
      </c>
      <c r="H244" s="105"/>
      <c r="I244" s="104">
        <v>18</v>
      </c>
      <c r="J244" s="104" t="s">
        <v>279</v>
      </c>
      <c r="K244" s="118">
        <v>1</v>
      </c>
      <c r="L244" s="118" t="s">
        <v>81</v>
      </c>
      <c r="M244" s="128">
        <f>LEFT(J244,SEARCH(" ",J244,1)-1)*K244*0.001</f>
        <v>2.5</v>
      </c>
      <c r="N244" s="104" t="s">
        <v>139</v>
      </c>
      <c r="O244" s="162">
        <f>VLOOKUP(I244,BM!$B$3:$Y$62,5,FALSE)</f>
        <v>0.5</v>
      </c>
      <c r="P244" s="104" t="s">
        <v>112</v>
      </c>
      <c r="Q244" s="150">
        <f t="shared" si="50"/>
        <v>1.25</v>
      </c>
      <c r="R244" s="148">
        <v>1</v>
      </c>
      <c r="S244" s="150">
        <f t="shared" si="51"/>
        <v>2.25</v>
      </c>
      <c r="T244" s="149" t="s">
        <v>48</v>
      </c>
    </row>
    <row r="245" spans="3:20" ht="20.25" customHeight="1">
      <c r="C245" s="96"/>
      <c r="D245" s="102">
        <f t="shared" si="45"/>
        <v>245</v>
      </c>
      <c r="E245" s="106" t="s">
        <v>278</v>
      </c>
      <c r="F245" s="108">
        <f t="shared" si="52"/>
        <v>244</v>
      </c>
      <c r="G245" s="105" t="s">
        <v>224</v>
      </c>
      <c r="H245" s="105"/>
      <c r="I245" s="108">
        <f>I244</f>
        <v>18</v>
      </c>
      <c r="J245" s="108" t="s">
        <v>279</v>
      </c>
      <c r="K245" s="118">
        <v>1</v>
      </c>
      <c r="L245" s="118" t="s">
        <v>81</v>
      </c>
      <c r="M245" s="128">
        <f>LEFT(J245,SEARCH(" ",J245,1)-1)*K245*0.001</f>
        <v>2.5</v>
      </c>
      <c r="N245" s="104" t="s">
        <v>139</v>
      </c>
      <c r="O245" s="162">
        <f>VLOOKUP(I245,BM!$B$3:$Y$62,5,FALSE)</f>
        <v>0.5</v>
      </c>
      <c r="P245" s="104" t="s">
        <v>112</v>
      </c>
      <c r="Q245" s="150">
        <f t="shared" si="50"/>
        <v>1.25</v>
      </c>
      <c r="R245" s="148">
        <v>1</v>
      </c>
      <c r="S245" s="150">
        <f t="shared" si="51"/>
        <v>2.25</v>
      </c>
      <c r="T245" s="149" t="s">
        <v>48</v>
      </c>
    </row>
    <row r="246" spans="3:20" ht="20.25" customHeight="1">
      <c r="C246" s="96"/>
      <c r="D246" s="102">
        <f t="shared" si="45"/>
        <v>246</v>
      </c>
      <c r="E246" s="106" t="s">
        <v>278</v>
      </c>
      <c r="F246" s="108">
        <f t="shared" si="52"/>
        <v>245</v>
      </c>
      <c r="G246" s="105" t="s">
        <v>224</v>
      </c>
      <c r="H246" s="105"/>
      <c r="I246" s="108">
        <f>I245</f>
        <v>18</v>
      </c>
      <c r="J246" s="140" t="s">
        <v>280</v>
      </c>
      <c r="K246" s="118">
        <v>1</v>
      </c>
      <c r="L246" s="118" t="s">
        <v>81</v>
      </c>
      <c r="M246" s="128">
        <f t="shared" ref="M246:M247" si="56">LEFT(J246,SEARCH(" ",J246,1)-1)*K246*0.001</f>
        <v>1.25</v>
      </c>
      <c r="N246" s="104" t="s">
        <v>139</v>
      </c>
      <c r="O246" s="162">
        <f>VLOOKUP(I246,BM!$B$3:$Y$62,5,FALSE)</f>
        <v>0.5</v>
      </c>
      <c r="P246" s="104" t="s">
        <v>112</v>
      </c>
      <c r="Q246" s="150">
        <f t="shared" si="50"/>
        <v>0.625</v>
      </c>
      <c r="R246" s="148">
        <v>1</v>
      </c>
      <c r="S246" s="150">
        <f t="shared" si="51"/>
        <v>1.625</v>
      </c>
      <c r="T246" s="149" t="s">
        <v>48</v>
      </c>
    </row>
    <row r="247" spans="3:20" ht="20.25" customHeight="1">
      <c r="C247" s="96"/>
      <c r="D247" s="102">
        <f t="shared" si="45"/>
        <v>247</v>
      </c>
      <c r="E247" s="106" t="s">
        <v>278</v>
      </c>
      <c r="F247" s="108">
        <f t="shared" si="52"/>
        <v>246</v>
      </c>
      <c r="G247" s="105" t="s">
        <v>224</v>
      </c>
      <c r="H247" s="105"/>
      <c r="I247" s="108">
        <f>I246</f>
        <v>18</v>
      </c>
      <c r="J247" s="140" t="s">
        <v>281</v>
      </c>
      <c r="K247" s="118">
        <v>1</v>
      </c>
      <c r="L247" s="118" t="s">
        <v>81</v>
      </c>
      <c r="M247" s="128">
        <f t="shared" si="56"/>
        <v>0</v>
      </c>
      <c r="N247" s="104" t="s">
        <v>139</v>
      </c>
      <c r="O247" s="162">
        <f>VLOOKUP(I247,BM!$B$3:$Y$62,5,FALSE)</f>
        <v>0.5</v>
      </c>
      <c r="P247" s="104" t="s">
        <v>112</v>
      </c>
      <c r="Q247" s="150">
        <f t="shared" si="50"/>
        <v>0</v>
      </c>
      <c r="R247" s="148"/>
      <c r="S247" s="150">
        <f t="shared" si="51"/>
        <v>0</v>
      </c>
      <c r="T247" s="149" t="s">
        <v>48</v>
      </c>
    </row>
    <row r="248" spans="3:20" ht="20.25" customHeight="1">
      <c r="C248" s="96">
        <f>D248</f>
        <v>248</v>
      </c>
      <c r="D248" s="102">
        <f t="shared" si="45"/>
        <v>248</v>
      </c>
      <c r="E248" s="103" t="s">
        <v>753</v>
      </c>
      <c r="F248" s="108">
        <f>D243</f>
        <v>243</v>
      </c>
      <c r="G248" s="105"/>
      <c r="H248" s="105"/>
      <c r="I248" s="104"/>
      <c r="J248" s="104"/>
      <c r="K248" s="118"/>
      <c r="L248" s="118"/>
      <c r="M248" s="119"/>
      <c r="N248" s="104"/>
      <c r="O248" s="120"/>
      <c r="P248" s="104"/>
      <c r="Q248" s="150"/>
      <c r="R248" s="148"/>
      <c r="S248" s="150"/>
      <c r="T248" s="149"/>
    </row>
    <row r="249" spans="3:20" ht="20.25" customHeight="1">
      <c r="C249" s="96"/>
      <c r="D249" s="102">
        <f t="shared" si="45"/>
        <v>249</v>
      </c>
      <c r="E249" s="106" t="s">
        <v>283</v>
      </c>
      <c r="F249" s="108">
        <f t="shared" si="52"/>
        <v>248</v>
      </c>
      <c r="G249" s="105" t="s">
        <v>121</v>
      </c>
      <c r="H249" s="105"/>
      <c r="I249" s="108">
        <f>I247</f>
        <v>18</v>
      </c>
      <c r="J249" s="108" t="str">
        <f t="shared" ref="J249:K252" si="57">J244</f>
        <v>2500 mm</v>
      </c>
      <c r="K249" s="164">
        <f t="shared" si="57"/>
        <v>1</v>
      </c>
      <c r="L249" s="118" t="s">
        <v>81</v>
      </c>
      <c r="M249" s="128">
        <f t="shared" ref="M249:M252" si="58">LEFT(J249,SEARCH(" ",J249,1)-1)*K249*0.001</f>
        <v>2.5</v>
      </c>
      <c r="N249" s="104" t="s">
        <v>139</v>
      </c>
      <c r="O249" s="162">
        <f>VLOOKUP(I249,BM!$B$3:$Y$62,6,FALSE)</f>
        <v>1</v>
      </c>
      <c r="P249" s="104" t="s">
        <v>112</v>
      </c>
      <c r="Q249" s="150">
        <f t="shared" si="50"/>
        <v>2.5</v>
      </c>
      <c r="R249" s="148">
        <v>1</v>
      </c>
      <c r="S249" s="150">
        <f t="shared" si="51"/>
        <v>3.5</v>
      </c>
      <c r="T249" s="149" t="s">
        <v>48</v>
      </c>
    </row>
    <row r="250" spans="3:20" ht="20.25" customHeight="1">
      <c r="C250" s="96"/>
      <c r="D250" s="102">
        <f t="shared" si="45"/>
        <v>250</v>
      </c>
      <c r="E250" s="106" t="s">
        <v>283</v>
      </c>
      <c r="F250" s="108">
        <f t="shared" si="52"/>
        <v>249</v>
      </c>
      <c r="G250" s="105" t="s">
        <v>121</v>
      </c>
      <c r="H250" s="105"/>
      <c r="I250" s="108">
        <f>I247</f>
        <v>18</v>
      </c>
      <c r="J250" s="108" t="str">
        <f t="shared" si="57"/>
        <v>2500 mm</v>
      </c>
      <c r="K250" s="164">
        <f t="shared" si="57"/>
        <v>1</v>
      </c>
      <c r="L250" s="118" t="s">
        <v>81</v>
      </c>
      <c r="M250" s="128">
        <f t="shared" si="58"/>
        <v>2.5</v>
      </c>
      <c r="N250" s="104" t="s">
        <v>139</v>
      </c>
      <c r="O250" s="162">
        <f>VLOOKUP(I250,BM!$B$3:$Y$62,6,FALSE)</f>
        <v>1</v>
      </c>
      <c r="P250" s="104" t="s">
        <v>112</v>
      </c>
      <c r="Q250" s="150">
        <f t="shared" si="50"/>
        <v>2.5</v>
      </c>
      <c r="R250" s="148">
        <v>1</v>
      </c>
      <c r="S250" s="150">
        <f t="shared" si="51"/>
        <v>3.5</v>
      </c>
      <c r="T250" s="149" t="s">
        <v>48</v>
      </c>
    </row>
    <row r="251" spans="3:20" ht="20.25" customHeight="1">
      <c r="C251" s="96"/>
      <c r="D251" s="102">
        <f t="shared" si="45"/>
        <v>251</v>
      </c>
      <c r="E251" s="106" t="s">
        <v>283</v>
      </c>
      <c r="F251" s="108">
        <f t="shared" si="52"/>
        <v>250</v>
      </c>
      <c r="G251" s="105" t="s">
        <v>121</v>
      </c>
      <c r="H251" s="105"/>
      <c r="I251" s="108">
        <f>I247</f>
        <v>18</v>
      </c>
      <c r="J251" s="108" t="str">
        <f t="shared" si="57"/>
        <v>1250 mm</v>
      </c>
      <c r="K251" s="164">
        <f t="shared" si="57"/>
        <v>1</v>
      </c>
      <c r="L251" s="118" t="s">
        <v>81</v>
      </c>
      <c r="M251" s="128">
        <f t="shared" si="58"/>
        <v>1.25</v>
      </c>
      <c r="N251" s="104" t="s">
        <v>139</v>
      </c>
      <c r="O251" s="162">
        <f>VLOOKUP(I251,BM!$B$3:$Y$62,6,FALSE)</f>
        <v>1</v>
      </c>
      <c r="P251" s="104" t="s">
        <v>112</v>
      </c>
      <c r="Q251" s="150">
        <f t="shared" si="50"/>
        <v>1.25</v>
      </c>
      <c r="R251" s="148">
        <v>1</v>
      </c>
      <c r="S251" s="150">
        <f t="shared" si="51"/>
        <v>2.25</v>
      </c>
      <c r="T251" s="149" t="s">
        <v>48</v>
      </c>
    </row>
    <row r="252" spans="3:20" ht="20.25" customHeight="1">
      <c r="C252" s="96"/>
      <c r="D252" s="102">
        <f t="shared" si="45"/>
        <v>252</v>
      </c>
      <c r="E252" s="106" t="s">
        <v>283</v>
      </c>
      <c r="F252" s="108">
        <f t="shared" si="52"/>
        <v>251</v>
      </c>
      <c r="G252" s="105" t="s">
        <v>121</v>
      </c>
      <c r="H252" s="105"/>
      <c r="I252" s="108">
        <f>I247</f>
        <v>18</v>
      </c>
      <c r="J252" s="108" t="str">
        <f t="shared" si="57"/>
        <v>0 mm</v>
      </c>
      <c r="K252" s="164">
        <f t="shared" si="57"/>
        <v>1</v>
      </c>
      <c r="L252" s="118" t="s">
        <v>81</v>
      </c>
      <c r="M252" s="128">
        <f t="shared" si="58"/>
        <v>0</v>
      </c>
      <c r="N252" s="104" t="s">
        <v>139</v>
      </c>
      <c r="O252" s="162">
        <f>VLOOKUP(I252,BM!$B$3:$Y$62,6,FALSE)</f>
        <v>1</v>
      </c>
      <c r="P252" s="104" t="s">
        <v>112</v>
      </c>
      <c r="Q252" s="150">
        <f t="shared" si="50"/>
        <v>0</v>
      </c>
      <c r="R252" s="148">
        <v>1</v>
      </c>
      <c r="S252" s="150">
        <f t="shared" si="51"/>
        <v>1</v>
      </c>
      <c r="T252" s="149" t="s">
        <v>48</v>
      </c>
    </row>
    <row r="253" spans="3:20" ht="20.25" customHeight="1">
      <c r="C253" s="96">
        <f>D253</f>
        <v>253</v>
      </c>
      <c r="D253" s="102">
        <f t="shared" si="45"/>
        <v>253</v>
      </c>
      <c r="E253" s="103" t="s">
        <v>754</v>
      </c>
      <c r="F253" s="108">
        <f>D248</f>
        <v>248</v>
      </c>
      <c r="G253" s="105"/>
      <c r="H253" s="105"/>
      <c r="I253" s="104"/>
      <c r="J253" s="104"/>
      <c r="K253" s="118"/>
      <c r="L253" s="118"/>
      <c r="M253" s="119"/>
      <c r="N253" s="104"/>
      <c r="O253" s="120"/>
      <c r="P253" s="104"/>
      <c r="Q253" s="150"/>
      <c r="R253" s="148"/>
      <c r="S253" s="150"/>
      <c r="T253" s="149"/>
    </row>
    <row r="254" spans="3:20" ht="20.25" customHeight="1">
      <c r="C254" s="96"/>
      <c r="D254" s="102">
        <f t="shared" si="45"/>
        <v>254</v>
      </c>
      <c r="E254" s="106" t="s">
        <v>285</v>
      </c>
      <c r="F254" s="108">
        <f t="shared" si="52"/>
        <v>253</v>
      </c>
      <c r="G254" s="105" t="s">
        <v>286</v>
      </c>
      <c r="H254" s="105"/>
      <c r="I254" s="108">
        <f>I252</f>
        <v>18</v>
      </c>
      <c r="J254" s="108" t="str">
        <f t="shared" ref="J254:K257" si="59">J249</f>
        <v>2500 mm</v>
      </c>
      <c r="K254" s="164">
        <f t="shared" si="59"/>
        <v>1</v>
      </c>
      <c r="L254" s="118" t="s">
        <v>81</v>
      </c>
      <c r="M254" s="128">
        <v>1</v>
      </c>
      <c r="N254" s="104" t="s">
        <v>39</v>
      </c>
      <c r="O254" s="120">
        <v>3</v>
      </c>
      <c r="P254" s="104" t="s">
        <v>112</v>
      </c>
      <c r="Q254" s="150">
        <f t="shared" si="50"/>
        <v>3</v>
      </c>
      <c r="R254" s="148">
        <v>1</v>
      </c>
      <c r="S254" s="150">
        <f t="shared" si="51"/>
        <v>4</v>
      </c>
      <c r="T254" s="149" t="s">
        <v>48</v>
      </c>
    </row>
    <row r="255" spans="3:20" ht="20.25" customHeight="1">
      <c r="C255" s="96"/>
      <c r="D255" s="102">
        <f t="shared" si="45"/>
        <v>255</v>
      </c>
      <c r="E255" s="106" t="s">
        <v>285</v>
      </c>
      <c r="F255" s="108">
        <f t="shared" si="52"/>
        <v>254</v>
      </c>
      <c r="G255" s="105" t="s">
        <v>286</v>
      </c>
      <c r="H255" s="105"/>
      <c r="I255" s="108">
        <f>I252</f>
        <v>18</v>
      </c>
      <c r="J255" s="108" t="str">
        <f t="shared" si="59"/>
        <v>2500 mm</v>
      </c>
      <c r="K255" s="164">
        <f t="shared" si="59"/>
        <v>1</v>
      </c>
      <c r="L255" s="118" t="s">
        <v>81</v>
      </c>
      <c r="M255" s="128">
        <v>1</v>
      </c>
      <c r="N255" s="104" t="str">
        <f>N254</f>
        <v>No</v>
      </c>
      <c r="O255" s="162">
        <v>3</v>
      </c>
      <c r="P255" s="104" t="s">
        <v>112</v>
      </c>
      <c r="Q255" s="150">
        <f t="shared" si="50"/>
        <v>3</v>
      </c>
      <c r="R255" s="148">
        <v>1</v>
      </c>
      <c r="S255" s="150">
        <f t="shared" si="51"/>
        <v>4</v>
      </c>
      <c r="T255" s="149" t="s">
        <v>48</v>
      </c>
    </row>
    <row r="256" spans="3:20" ht="20.25" customHeight="1">
      <c r="C256" s="96"/>
      <c r="D256" s="102">
        <f t="shared" si="45"/>
        <v>256</v>
      </c>
      <c r="E256" s="106" t="s">
        <v>285</v>
      </c>
      <c r="F256" s="108">
        <f t="shared" si="52"/>
        <v>255</v>
      </c>
      <c r="G256" s="105" t="s">
        <v>286</v>
      </c>
      <c r="H256" s="105"/>
      <c r="I256" s="108">
        <f>I252</f>
        <v>18</v>
      </c>
      <c r="J256" s="108" t="str">
        <f t="shared" si="59"/>
        <v>1250 mm</v>
      </c>
      <c r="K256" s="164">
        <f t="shared" si="59"/>
        <v>1</v>
      </c>
      <c r="L256" s="118" t="s">
        <v>81</v>
      </c>
      <c r="M256" s="128">
        <v>1</v>
      </c>
      <c r="N256" s="104" t="str">
        <f>N255</f>
        <v>No</v>
      </c>
      <c r="O256" s="162">
        <v>3</v>
      </c>
      <c r="P256" s="104" t="s">
        <v>112</v>
      </c>
      <c r="Q256" s="150">
        <f t="shared" si="50"/>
        <v>3</v>
      </c>
      <c r="R256" s="148">
        <v>1</v>
      </c>
      <c r="S256" s="150">
        <f t="shared" si="51"/>
        <v>4</v>
      </c>
      <c r="T256" s="149" t="s">
        <v>48</v>
      </c>
    </row>
    <row r="257" spans="3:20" ht="20.25" customHeight="1">
      <c r="C257" s="96"/>
      <c r="D257" s="102">
        <f t="shared" si="45"/>
        <v>257</v>
      </c>
      <c r="E257" s="106" t="s">
        <v>285</v>
      </c>
      <c r="F257" s="108">
        <f t="shared" si="52"/>
        <v>256</v>
      </c>
      <c r="G257" s="105" t="s">
        <v>286</v>
      </c>
      <c r="H257" s="105"/>
      <c r="I257" s="108">
        <f>I252</f>
        <v>18</v>
      </c>
      <c r="J257" s="108" t="str">
        <f t="shared" si="59"/>
        <v>0 mm</v>
      </c>
      <c r="K257" s="164">
        <v>0</v>
      </c>
      <c r="L257" s="118" t="s">
        <v>81</v>
      </c>
      <c r="M257" s="128">
        <v>0</v>
      </c>
      <c r="N257" s="104" t="str">
        <f>N256</f>
        <v>No</v>
      </c>
      <c r="O257" s="162">
        <v>0</v>
      </c>
      <c r="P257" s="104" t="s">
        <v>112</v>
      </c>
      <c r="Q257" s="150">
        <f t="shared" si="50"/>
        <v>0</v>
      </c>
      <c r="R257" s="148"/>
      <c r="S257" s="150">
        <f t="shared" si="51"/>
        <v>0</v>
      </c>
      <c r="T257" s="149" t="s">
        <v>48</v>
      </c>
    </row>
    <row r="258" spans="3:20" ht="20.25" customHeight="1">
      <c r="C258" s="96">
        <f>D258</f>
        <v>258</v>
      </c>
      <c r="D258" s="102">
        <f t="shared" si="45"/>
        <v>258</v>
      </c>
      <c r="E258" s="103" t="s">
        <v>755</v>
      </c>
      <c r="F258" s="108">
        <f>D253</f>
        <v>253</v>
      </c>
      <c r="G258" s="105"/>
      <c r="H258" s="105"/>
      <c r="I258" s="104"/>
      <c r="J258" s="104"/>
      <c r="K258" s="118"/>
      <c r="L258" s="118"/>
      <c r="M258" s="119"/>
      <c r="N258" s="104"/>
      <c r="O258" s="120"/>
      <c r="P258" s="104"/>
      <c r="Q258" s="150"/>
      <c r="R258" s="148"/>
      <c r="S258" s="150"/>
      <c r="T258" s="149"/>
    </row>
    <row r="259" spans="3:20" ht="20.25" customHeight="1">
      <c r="C259" s="96"/>
      <c r="D259" s="102">
        <f t="shared" ref="D259:D322" si="60">D258+1</f>
        <v>259</v>
      </c>
      <c r="E259" s="106" t="s">
        <v>288</v>
      </c>
      <c r="F259" s="108">
        <f t="shared" si="52"/>
        <v>258</v>
      </c>
      <c r="G259" s="105" t="s">
        <v>289</v>
      </c>
      <c r="H259" s="105"/>
      <c r="I259" s="108">
        <f>I257</f>
        <v>18</v>
      </c>
      <c r="J259" s="108" t="str">
        <f>J254</f>
        <v>2500 mm</v>
      </c>
      <c r="K259" s="118">
        <v>1</v>
      </c>
      <c r="L259" s="118" t="s">
        <v>81</v>
      </c>
      <c r="M259" s="142">
        <v>1</v>
      </c>
      <c r="N259" s="104" t="s">
        <v>81</v>
      </c>
      <c r="O259" s="162">
        <v>3</v>
      </c>
      <c r="P259" s="104" t="s">
        <v>112</v>
      </c>
      <c r="Q259" s="150">
        <f t="shared" si="50"/>
        <v>3</v>
      </c>
      <c r="R259" s="148">
        <v>1</v>
      </c>
      <c r="S259" s="150">
        <f t="shared" si="51"/>
        <v>4</v>
      </c>
      <c r="T259" s="149" t="s">
        <v>48</v>
      </c>
    </row>
    <row r="260" spans="3:20" ht="20.25" customHeight="1">
      <c r="C260" s="96"/>
      <c r="D260" s="102">
        <f t="shared" si="60"/>
        <v>260</v>
      </c>
      <c r="E260" s="106" t="s">
        <v>288</v>
      </c>
      <c r="F260" s="108">
        <f t="shared" si="52"/>
        <v>259</v>
      </c>
      <c r="G260" s="105" t="s">
        <v>289</v>
      </c>
      <c r="H260" s="105"/>
      <c r="I260" s="108">
        <f>I257</f>
        <v>18</v>
      </c>
      <c r="J260" s="108" t="str">
        <f>J255</f>
        <v>2500 mm</v>
      </c>
      <c r="K260" s="118">
        <v>1</v>
      </c>
      <c r="L260" s="118" t="s">
        <v>81</v>
      </c>
      <c r="M260" s="142">
        <v>1</v>
      </c>
      <c r="N260" s="104" t="s">
        <v>81</v>
      </c>
      <c r="O260" s="162">
        <v>3</v>
      </c>
      <c r="P260" s="104" t="s">
        <v>112</v>
      </c>
      <c r="Q260" s="150">
        <f t="shared" si="50"/>
        <v>3</v>
      </c>
      <c r="R260" s="148">
        <v>1</v>
      </c>
      <c r="S260" s="150">
        <f t="shared" si="51"/>
        <v>4</v>
      </c>
      <c r="T260" s="149" t="s">
        <v>48</v>
      </c>
    </row>
    <row r="261" spans="3:20" ht="20.25" customHeight="1">
      <c r="C261" s="96"/>
      <c r="D261" s="102">
        <f t="shared" si="60"/>
        <v>261</v>
      </c>
      <c r="E261" s="106" t="s">
        <v>288</v>
      </c>
      <c r="F261" s="108">
        <f t="shared" si="52"/>
        <v>260</v>
      </c>
      <c r="G261" s="105" t="s">
        <v>289</v>
      </c>
      <c r="H261" s="105"/>
      <c r="I261" s="108">
        <f>I257</f>
        <v>18</v>
      </c>
      <c r="J261" s="108" t="str">
        <f>J256</f>
        <v>1250 mm</v>
      </c>
      <c r="K261" s="118">
        <v>1</v>
      </c>
      <c r="L261" s="118" t="s">
        <v>81</v>
      </c>
      <c r="M261" s="142">
        <v>1</v>
      </c>
      <c r="N261" s="104" t="s">
        <v>81</v>
      </c>
      <c r="O261" s="162">
        <v>3</v>
      </c>
      <c r="P261" s="104" t="s">
        <v>112</v>
      </c>
      <c r="Q261" s="150">
        <f t="shared" si="50"/>
        <v>3</v>
      </c>
      <c r="R261" s="148">
        <v>1</v>
      </c>
      <c r="S261" s="150">
        <f t="shared" si="51"/>
        <v>4</v>
      </c>
      <c r="T261" s="149" t="s">
        <v>48</v>
      </c>
    </row>
    <row r="262" spans="3:20" ht="20.25" customHeight="1">
      <c r="C262" s="96"/>
      <c r="D262" s="102">
        <f t="shared" si="60"/>
        <v>262</v>
      </c>
      <c r="E262" s="106" t="s">
        <v>288</v>
      </c>
      <c r="F262" s="108">
        <f t="shared" si="52"/>
        <v>261</v>
      </c>
      <c r="G262" s="105" t="s">
        <v>289</v>
      </c>
      <c r="H262" s="105"/>
      <c r="I262" s="108">
        <f>I257</f>
        <v>18</v>
      </c>
      <c r="J262" s="108" t="str">
        <f>J257</f>
        <v>0 mm</v>
      </c>
      <c r="K262" s="118">
        <v>1</v>
      </c>
      <c r="L262" s="118" t="s">
        <v>81</v>
      </c>
      <c r="M262" s="142">
        <v>0</v>
      </c>
      <c r="N262" s="104" t="s">
        <v>81</v>
      </c>
      <c r="O262" s="162">
        <v>3</v>
      </c>
      <c r="P262" s="104" t="s">
        <v>112</v>
      </c>
      <c r="Q262" s="150">
        <f t="shared" si="50"/>
        <v>0</v>
      </c>
      <c r="R262" s="148">
        <v>1</v>
      </c>
      <c r="S262" s="150">
        <f t="shared" si="51"/>
        <v>1</v>
      </c>
      <c r="T262" s="149" t="s">
        <v>48</v>
      </c>
    </row>
    <row r="263" spans="3:20" ht="20.25" customHeight="1">
      <c r="C263" s="96">
        <f>D263</f>
        <v>263</v>
      </c>
      <c r="D263" s="102">
        <f t="shared" si="60"/>
        <v>263</v>
      </c>
      <c r="E263" s="103" t="s">
        <v>756</v>
      </c>
      <c r="F263" s="108">
        <f>D258</f>
        <v>258</v>
      </c>
      <c r="G263" s="105"/>
      <c r="H263" s="105"/>
      <c r="I263" s="104"/>
      <c r="J263" s="104"/>
      <c r="K263" s="118"/>
      <c r="L263" s="118"/>
      <c r="M263" s="119"/>
      <c r="N263" s="104"/>
      <c r="O263" s="120"/>
      <c r="P263" s="104"/>
      <c r="Q263" s="150"/>
      <c r="R263" s="148"/>
      <c r="S263" s="150"/>
      <c r="T263" s="149"/>
    </row>
    <row r="264" spans="3:20" ht="20.25" customHeight="1">
      <c r="C264" s="96"/>
      <c r="D264" s="102">
        <f t="shared" si="60"/>
        <v>264</v>
      </c>
      <c r="E264" s="106" t="s">
        <v>291</v>
      </c>
      <c r="F264" s="108">
        <f t="shared" si="52"/>
        <v>263</v>
      </c>
      <c r="G264" s="105" t="s">
        <v>44</v>
      </c>
      <c r="H264" s="105"/>
      <c r="I264" s="108">
        <f>I262</f>
        <v>18</v>
      </c>
      <c r="J264" s="108" t="str">
        <f>J259</f>
        <v>2500 mm</v>
      </c>
      <c r="K264" s="118">
        <v>1</v>
      </c>
      <c r="L264" s="118" t="s">
        <v>81</v>
      </c>
      <c r="M264" s="128">
        <f t="shared" ref="M264:M267" si="61">LEFT(J264,SEARCH(" ",J264,1)-1)*K264*0.001</f>
        <v>2.5</v>
      </c>
      <c r="N264" s="104" t="s">
        <v>139</v>
      </c>
      <c r="O264" s="162">
        <f>VLOOKUP(I264,BM!$B$3:$Y$62,9,FALSE)</f>
        <v>1</v>
      </c>
      <c r="P264" s="104" t="s">
        <v>112</v>
      </c>
      <c r="Q264" s="150">
        <f t="shared" si="50"/>
        <v>2.5</v>
      </c>
      <c r="R264" s="148">
        <v>1</v>
      </c>
      <c r="S264" s="150">
        <f t="shared" si="51"/>
        <v>3.5</v>
      </c>
      <c r="T264" s="149" t="s">
        <v>48</v>
      </c>
    </row>
    <row r="265" spans="3:20" ht="20.25" customHeight="1">
      <c r="C265" s="96"/>
      <c r="D265" s="102">
        <f t="shared" si="60"/>
        <v>265</v>
      </c>
      <c r="E265" s="106" t="s">
        <v>291</v>
      </c>
      <c r="F265" s="108">
        <f t="shared" si="52"/>
        <v>264</v>
      </c>
      <c r="G265" s="105" t="s">
        <v>44</v>
      </c>
      <c r="H265" s="105"/>
      <c r="I265" s="108">
        <f>I262</f>
        <v>18</v>
      </c>
      <c r="J265" s="108" t="str">
        <f>J260</f>
        <v>2500 mm</v>
      </c>
      <c r="K265" s="118">
        <v>1</v>
      </c>
      <c r="L265" s="118" t="s">
        <v>81</v>
      </c>
      <c r="M265" s="128">
        <f t="shared" si="61"/>
        <v>2.5</v>
      </c>
      <c r="N265" s="104" t="s">
        <v>139</v>
      </c>
      <c r="O265" s="162">
        <f>VLOOKUP(I265,BM!$B$3:$Y$62,9,FALSE)</f>
        <v>1</v>
      </c>
      <c r="P265" s="104" t="s">
        <v>112</v>
      </c>
      <c r="Q265" s="150">
        <f t="shared" si="50"/>
        <v>2.5</v>
      </c>
      <c r="R265" s="148">
        <v>1</v>
      </c>
      <c r="S265" s="150">
        <f t="shared" si="51"/>
        <v>3.5</v>
      </c>
      <c r="T265" s="149" t="s">
        <v>48</v>
      </c>
    </row>
    <row r="266" spans="3:20" ht="20.25" customHeight="1">
      <c r="C266" s="96"/>
      <c r="D266" s="102">
        <f t="shared" si="60"/>
        <v>266</v>
      </c>
      <c r="E266" s="106" t="s">
        <v>291</v>
      </c>
      <c r="F266" s="108">
        <f t="shared" si="52"/>
        <v>265</v>
      </c>
      <c r="G266" s="105" t="s">
        <v>44</v>
      </c>
      <c r="H266" s="105"/>
      <c r="I266" s="108">
        <f>I262</f>
        <v>18</v>
      </c>
      <c r="J266" s="108" t="str">
        <f>J261</f>
        <v>1250 mm</v>
      </c>
      <c r="K266" s="118">
        <v>1</v>
      </c>
      <c r="L266" s="118" t="s">
        <v>81</v>
      </c>
      <c r="M266" s="128">
        <f t="shared" si="61"/>
        <v>1.25</v>
      </c>
      <c r="N266" s="104" t="s">
        <v>139</v>
      </c>
      <c r="O266" s="162">
        <f>VLOOKUP(I266,BM!$B$3:$Y$62,9,FALSE)</f>
        <v>1</v>
      </c>
      <c r="P266" s="104" t="s">
        <v>112</v>
      </c>
      <c r="Q266" s="150">
        <f t="shared" si="50"/>
        <v>1.25</v>
      </c>
      <c r="R266" s="148">
        <v>1</v>
      </c>
      <c r="S266" s="150">
        <f t="shared" si="51"/>
        <v>2.25</v>
      </c>
      <c r="T266" s="149" t="s">
        <v>48</v>
      </c>
    </row>
    <row r="267" spans="3:20" ht="20.25" customHeight="1">
      <c r="C267" s="96"/>
      <c r="D267" s="102">
        <f t="shared" si="60"/>
        <v>267</v>
      </c>
      <c r="E267" s="106" t="s">
        <v>291</v>
      </c>
      <c r="F267" s="108">
        <f t="shared" si="52"/>
        <v>266</v>
      </c>
      <c r="G267" s="105" t="s">
        <v>44</v>
      </c>
      <c r="H267" s="105"/>
      <c r="I267" s="108">
        <f>I262</f>
        <v>18</v>
      </c>
      <c r="J267" s="108" t="str">
        <f>J262</f>
        <v>0 mm</v>
      </c>
      <c r="K267" s="118">
        <v>1</v>
      </c>
      <c r="L267" s="118" t="s">
        <v>81</v>
      </c>
      <c r="M267" s="128">
        <f t="shared" si="61"/>
        <v>0</v>
      </c>
      <c r="N267" s="104" t="s">
        <v>139</v>
      </c>
      <c r="O267" s="162">
        <f>VLOOKUP(I267,BM!$B$3:$Y$62,9,FALSE)</f>
        <v>1</v>
      </c>
      <c r="P267" s="104" t="s">
        <v>112</v>
      </c>
      <c r="Q267" s="150">
        <f t="shared" si="50"/>
        <v>0</v>
      </c>
      <c r="R267" s="148">
        <v>1</v>
      </c>
      <c r="S267" s="150">
        <f t="shared" si="51"/>
        <v>1</v>
      </c>
      <c r="T267" s="149" t="s">
        <v>48</v>
      </c>
    </row>
    <row r="268" spans="3:20" ht="20.25" customHeight="1">
      <c r="C268" s="96">
        <f>D268</f>
        <v>268</v>
      </c>
      <c r="D268" s="102">
        <f t="shared" si="60"/>
        <v>268</v>
      </c>
      <c r="E268" s="103" t="s">
        <v>757</v>
      </c>
      <c r="F268" s="108">
        <f>D263</f>
        <v>263</v>
      </c>
      <c r="G268" s="105"/>
      <c r="H268" s="105"/>
      <c r="I268" s="104"/>
      <c r="J268" s="104"/>
      <c r="K268" s="118"/>
      <c r="L268" s="118"/>
      <c r="M268" s="119"/>
      <c r="N268" s="104"/>
      <c r="O268" s="120"/>
      <c r="P268" s="104"/>
      <c r="Q268" s="150"/>
      <c r="R268" s="148"/>
      <c r="S268" s="150"/>
      <c r="T268" s="149"/>
    </row>
    <row r="269" spans="3:20" ht="20.25" customHeight="1">
      <c r="C269" s="96"/>
      <c r="D269" s="102">
        <f t="shared" si="60"/>
        <v>269</v>
      </c>
      <c r="E269" s="106" t="s">
        <v>293</v>
      </c>
      <c r="F269" s="108">
        <f t="shared" si="52"/>
        <v>268</v>
      </c>
      <c r="G269" s="105" t="s">
        <v>286</v>
      </c>
      <c r="H269" s="105"/>
      <c r="I269" s="108">
        <f>I267</f>
        <v>18</v>
      </c>
      <c r="J269" s="108" t="str">
        <f>J264</f>
        <v>2500 mm</v>
      </c>
      <c r="K269" s="118">
        <v>1</v>
      </c>
      <c r="L269" s="118" t="s">
        <v>81</v>
      </c>
      <c r="M269" s="142">
        <f>K269</f>
        <v>1</v>
      </c>
      <c r="N269" s="104" t="s">
        <v>39</v>
      </c>
      <c r="O269" s="120">
        <v>3</v>
      </c>
      <c r="P269" s="104" t="s">
        <v>112</v>
      </c>
      <c r="Q269" s="150">
        <f t="shared" si="50"/>
        <v>3</v>
      </c>
      <c r="R269" s="148">
        <v>1</v>
      </c>
      <c r="S269" s="150">
        <f t="shared" si="51"/>
        <v>4</v>
      </c>
      <c r="T269" s="149" t="s">
        <v>48</v>
      </c>
    </row>
    <row r="270" spans="3:20" ht="20.25" customHeight="1">
      <c r="C270" s="96"/>
      <c r="D270" s="102">
        <f t="shared" si="60"/>
        <v>270</v>
      </c>
      <c r="E270" s="106" t="s">
        <v>294</v>
      </c>
      <c r="F270" s="108">
        <f t="shared" si="52"/>
        <v>269</v>
      </c>
      <c r="G270" s="105" t="s">
        <v>286</v>
      </c>
      <c r="H270" s="105"/>
      <c r="I270" s="108">
        <f>I267</f>
        <v>18</v>
      </c>
      <c r="J270" s="108" t="str">
        <f>J265</f>
        <v>2500 mm</v>
      </c>
      <c r="K270" s="118">
        <v>1</v>
      </c>
      <c r="L270" s="118" t="s">
        <v>81</v>
      </c>
      <c r="M270" s="142">
        <f>K270</f>
        <v>1</v>
      </c>
      <c r="N270" s="104" t="s">
        <v>39</v>
      </c>
      <c r="O270" s="162">
        <f>O269</f>
        <v>3</v>
      </c>
      <c r="P270" s="104" t="s">
        <v>112</v>
      </c>
      <c r="Q270" s="150">
        <f t="shared" si="50"/>
        <v>3</v>
      </c>
      <c r="R270" s="148">
        <v>1</v>
      </c>
      <c r="S270" s="150">
        <f t="shared" si="51"/>
        <v>4</v>
      </c>
      <c r="T270" s="149" t="s">
        <v>48</v>
      </c>
    </row>
    <row r="271" spans="3:20" ht="20.25" customHeight="1">
      <c r="C271" s="96"/>
      <c r="D271" s="102">
        <f t="shared" si="60"/>
        <v>271</v>
      </c>
      <c r="E271" s="106" t="s">
        <v>294</v>
      </c>
      <c r="F271" s="108">
        <f t="shared" si="52"/>
        <v>270</v>
      </c>
      <c r="G271" s="105" t="s">
        <v>286</v>
      </c>
      <c r="H271" s="105"/>
      <c r="I271" s="108">
        <f>I267</f>
        <v>18</v>
      </c>
      <c r="J271" s="108" t="str">
        <f>J266</f>
        <v>1250 mm</v>
      </c>
      <c r="K271" s="118">
        <v>1</v>
      </c>
      <c r="L271" s="118" t="s">
        <v>81</v>
      </c>
      <c r="M271" s="142">
        <f>K271</f>
        <v>1</v>
      </c>
      <c r="N271" s="104" t="s">
        <v>39</v>
      </c>
      <c r="O271" s="162">
        <f>O270</f>
        <v>3</v>
      </c>
      <c r="P271" s="104" t="s">
        <v>112</v>
      </c>
      <c r="Q271" s="150">
        <f t="shared" si="50"/>
        <v>3</v>
      </c>
      <c r="R271" s="148">
        <v>1</v>
      </c>
      <c r="S271" s="150">
        <f t="shared" si="51"/>
        <v>4</v>
      </c>
      <c r="T271" s="149" t="s">
        <v>48</v>
      </c>
    </row>
    <row r="272" spans="3:20" ht="20.25" customHeight="1">
      <c r="C272" s="96"/>
      <c r="D272" s="102">
        <f t="shared" si="60"/>
        <v>272</v>
      </c>
      <c r="E272" s="106" t="s">
        <v>294</v>
      </c>
      <c r="F272" s="108">
        <f t="shared" si="52"/>
        <v>271</v>
      </c>
      <c r="G272" s="105" t="s">
        <v>286</v>
      </c>
      <c r="H272" s="105"/>
      <c r="I272" s="108">
        <f>I267</f>
        <v>18</v>
      </c>
      <c r="J272" s="108" t="str">
        <f>J267</f>
        <v>0 mm</v>
      </c>
      <c r="K272" s="118">
        <v>1</v>
      </c>
      <c r="L272" s="118" t="s">
        <v>81</v>
      </c>
      <c r="M272" s="142">
        <f>K272</f>
        <v>1</v>
      </c>
      <c r="N272" s="104" t="s">
        <v>39</v>
      </c>
      <c r="O272" s="162">
        <f>O271</f>
        <v>3</v>
      </c>
      <c r="P272" s="104" t="s">
        <v>112</v>
      </c>
      <c r="Q272" s="150">
        <f t="shared" si="50"/>
        <v>3</v>
      </c>
      <c r="R272" s="148">
        <v>1</v>
      </c>
      <c r="S272" s="150">
        <f t="shared" si="51"/>
        <v>4</v>
      </c>
      <c r="T272" s="149" t="s">
        <v>48</v>
      </c>
    </row>
    <row r="273" spans="3:20" ht="20.25" customHeight="1">
      <c r="C273" s="96">
        <f>D273</f>
        <v>273</v>
      </c>
      <c r="D273" s="102">
        <f t="shared" si="60"/>
        <v>273</v>
      </c>
      <c r="E273" s="103" t="s">
        <v>758</v>
      </c>
      <c r="F273" s="108">
        <f>D268</f>
        <v>268</v>
      </c>
      <c r="G273" s="105"/>
      <c r="H273" s="105"/>
      <c r="I273" s="104"/>
      <c r="J273" s="104"/>
      <c r="K273" s="118"/>
      <c r="L273" s="118"/>
      <c r="M273" s="119"/>
      <c r="N273" s="104"/>
      <c r="O273" s="120"/>
      <c r="P273" s="104"/>
      <c r="Q273" s="150">
        <f t="shared" si="50"/>
        <v>0</v>
      </c>
      <c r="R273" s="148"/>
      <c r="S273" s="150">
        <f t="shared" si="51"/>
        <v>0</v>
      </c>
      <c r="T273" s="149"/>
    </row>
    <row r="274" spans="3:20" ht="20.25" customHeight="1">
      <c r="C274" s="96"/>
      <c r="D274" s="102">
        <f t="shared" si="60"/>
        <v>274</v>
      </c>
      <c r="E274" s="106" t="s">
        <v>296</v>
      </c>
      <c r="F274" s="108">
        <f t="shared" si="52"/>
        <v>273</v>
      </c>
      <c r="G274" s="105" t="s">
        <v>201</v>
      </c>
      <c r="H274" s="105"/>
      <c r="I274" s="108">
        <f>I272</f>
        <v>18</v>
      </c>
      <c r="J274" s="108" t="str">
        <f>J269</f>
        <v>2500 mm</v>
      </c>
      <c r="K274" s="118">
        <v>1</v>
      </c>
      <c r="L274" s="118" t="s">
        <v>81</v>
      </c>
      <c r="M274" s="128">
        <f t="shared" ref="M274:M307" si="62">LEFT(J274,SEARCH(" ",J274,1)-1)*K274*0.001</f>
        <v>2.5</v>
      </c>
      <c r="N274" s="104" t="s">
        <v>139</v>
      </c>
      <c r="O274" s="162">
        <f>VLOOKUP(I274,BM!$B$3:$Y$62,9,FALSE)</f>
        <v>1</v>
      </c>
      <c r="P274" s="104" t="s">
        <v>112</v>
      </c>
      <c r="Q274" s="150">
        <f t="shared" si="50"/>
        <v>2.5</v>
      </c>
      <c r="R274" s="148">
        <v>1</v>
      </c>
      <c r="S274" s="150">
        <f t="shared" si="51"/>
        <v>3.5</v>
      </c>
      <c r="T274" s="149" t="s">
        <v>48</v>
      </c>
    </row>
    <row r="275" spans="3:20" ht="20.25" customHeight="1">
      <c r="C275" s="96"/>
      <c r="D275" s="102">
        <f t="shared" si="60"/>
        <v>275</v>
      </c>
      <c r="E275" s="106" t="s">
        <v>296</v>
      </c>
      <c r="F275" s="108">
        <f t="shared" si="52"/>
        <v>274</v>
      </c>
      <c r="G275" s="105" t="s">
        <v>201</v>
      </c>
      <c r="H275" s="105"/>
      <c r="I275" s="108">
        <f>I272</f>
        <v>18</v>
      </c>
      <c r="J275" s="108" t="str">
        <f>J270</f>
        <v>2500 mm</v>
      </c>
      <c r="K275" s="118">
        <v>1</v>
      </c>
      <c r="L275" s="118" t="s">
        <v>81</v>
      </c>
      <c r="M275" s="128">
        <f t="shared" si="62"/>
        <v>2.5</v>
      </c>
      <c r="N275" s="104" t="s">
        <v>139</v>
      </c>
      <c r="O275" s="162">
        <f>VLOOKUP(I275,BM!$B$3:$Y$62,9,FALSE)</f>
        <v>1</v>
      </c>
      <c r="P275" s="104" t="s">
        <v>112</v>
      </c>
      <c r="Q275" s="150">
        <f t="shared" si="50"/>
        <v>2.5</v>
      </c>
      <c r="R275" s="148">
        <v>1</v>
      </c>
      <c r="S275" s="150">
        <f t="shared" si="51"/>
        <v>3.5</v>
      </c>
      <c r="T275" s="149" t="s">
        <v>48</v>
      </c>
    </row>
    <row r="276" spans="3:20" ht="20.25" customHeight="1">
      <c r="C276" s="96"/>
      <c r="D276" s="102">
        <f t="shared" si="60"/>
        <v>276</v>
      </c>
      <c r="E276" s="106" t="s">
        <v>296</v>
      </c>
      <c r="F276" s="108">
        <f t="shared" si="52"/>
        <v>275</v>
      </c>
      <c r="G276" s="105" t="s">
        <v>201</v>
      </c>
      <c r="H276" s="105"/>
      <c r="I276" s="108">
        <f>I272</f>
        <v>18</v>
      </c>
      <c r="J276" s="108" t="str">
        <f>J271</f>
        <v>1250 mm</v>
      </c>
      <c r="K276" s="118">
        <v>1</v>
      </c>
      <c r="L276" s="118" t="s">
        <v>81</v>
      </c>
      <c r="M276" s="128">
        <f t="shared" si="62"/>
        <v>1.25</v>
      </c>
      <c r="N276" s="104" t="s">
        <v>139</v>
      </c>
      <c r="O276" s="162">
        <f>VLOOKUP(I276,BM!$B$3:$Y$62,9,FALSE)</f>
        <v>1</v>
      </c>
      <c r="P276" s="104" t="s">
        <v>112</v>
      </c>
      <c r="Q276" s="150">
        <f t="shared" si="50"/>
        <v>1.25</v>
      </c>
      <c r="R276" s="148">
        <v>1</v>
      </c>
      <c r="S276" s="150">
        <f t="shared" si="51"/>
        <v>2.25</v>
      </c>
      <c r="T276" s="149" t="s">
        <v>48</v>
      </c>
    </row>
    <row r="277" spans="3:20" ht="20.25" customHeight="1">
      <c r="C277" s="96"/>
      <c r="D277" s="102">
        <f t="shared" si="60"/>
        <v>277</v>
      </c>
      <c r="E277" s="106" t="s">
        <v>296</v>
      </c>
      <c r="F277" s="108">
        <f t="shared" si="52"/>
        <v>276</v>
      </c>
      <c r="G277" s="105" t="s">
        <v>201</v>
      </c>
      <c r="H277" s="105"/>
      <c r="I277" s="108">
        <f>I272</f>
        <v>18</v>
      </c>
      <c r="J277" s="108" t="str">
        <f>J272</f>
        <v>0 mm</v>
      </c>
      <c r="K277" s="118">
        <v>1</v>
      </c>
      <c r="L277" s="118" t="s">
        <v>81</v>
      </c>
      <c r="M277" s="128">
        <f t="shared" si="62"/>
        <v>0</v>
      </c>
      <c r="N277" s="104" t="s">
        <v>139</v>
      </c>
      <c r="O277" s="162">
        <f>VLOOKUP(I277,BM!$B$3:$Y$62,9,FALSE)</f>
        <v>1</v>
      </c>
      <c r="P277" s="104" t="s">
        <v>112</v>
      </c>
      <c r="Q277" s="150">
        <f t="shared" si="50"/>
        <v>0</v>
      </c>
      <c r="R277" s="148">
        <v>1</v>
      </c>
      <c r="S277" s="150">
        <f t="shared" si="51"/>
        <v>1</v>
      </c>
      <c r="T277" s="149" t="s">
        <v>48</v>
      </c>
    </row>
    <row r="278" spans="3:20" ht="20.25" customHeight="1">
      <c r="C278" s="96">
        <f>D278</f>
        <v>278</v>
      </c>
      <c r="D278" s="102">
        <f t="shared" si="60"/>
        <v>278</v>
      </c>
      <c r="E278" s="103" t="s">
        <v>759</v>
      </c>
      <c r="F278" s="108">
        <f>D273</f>
        <v>273</v>
      </c>
      <c r="G278" s="105"/>
      <c r="H278" s="105"/>
      <c r="I278" s="104"/>
      <c r="J278" s="104"/>
      <c r="K278" s="118"/>
      <c r="L278" s="118"/>
      <c r="M278" s="119"/>
      <c r="N278" s="104"/>
      <c r="O278" s="120"/>
      <c r="P278" s="104"/>
      <c r="Q278" s="150">
        <f t="shared" si="50"/>
        <v>0</v>
      </c>
      <c r="R278" s="148"/>
      <c r="S278" s="150">
        <f t="shared" si="51"/>
        <v>0</v>
      </c>
      <c r="T278" s="149"/>
    </row>
    <row r="279" spans="3:20" ht="20.25" customHeight="1">
      <c r="C279" s="96"/>
      <c r="D279" s="102">
        <f t="shared" si="60"/>
        <v>279</v>
      </c>
      <c r="E279" s="106" t="s">
        <v>298</v>
      </c>
      <c r="F279" s="108">
        <f t="shared" si="52"/>
        <v>278</v>
      </c>
      <c r="G279" s="105"/>
      <c r="H279" s="105"/>
      <c r="I279" s="108">
        <f>I277</f>
        <v>18</v>
      </c>
      <c r="J279" s="108" t="str">
        <f>J274</f>
        <v>2500 mm</v>
      </c>
      <c r="K279" s="118">
        <v>1</v>
      </c>
      <c r="L279" s="118" t="s">
        <v>81</v>
      </c>
      <c r="M279" s="128">
        <f t="shared" si="62"/>
        <v>2.5</v>
      </c>
      <c r="N279" s="104" t="s">
        <v>139</v>
      </c>
      <c r="O279" s="162">
        <f>VLOOKUP(I279,BM!$B$3:$Y$62,10,FALSE)</f>
        <v>1</v>
      </c>
      <c r="P279" s="104" t="s">
        <v>112</v>
      </c>
      <c r="Q279" s="150">
        <f t="shared" si="50"/>
        <v>2.5</v>
      </c>
      <c r="R279" s="148">
        <v>1</v>
      </c>
      <c r="S279" s="150">
        <f t="shared" si="51"/>
        <v>3.5</v>
      </c>
      <c r="T279" s="149" t="s">
        <v>48</v>
      </c>
    </row>
    <row r="280" spans="3:20" ht="20.25" customHeight="1">
      <c r="C280" s="96"/>
      <c r="D280" s="102">
        <f t="shared" si="60"/>
        <v>280</v>
      </c>
      <c r="E280" s="106" t="s">
        <v>298</v>
      </c>
      <c r="F280" s="108">
        <f t="shared" si="52"/>
        <v>279</v>
      </c>
      <c r="G280" s="105" t="s">
        <v>299</v>
      </c>
      <c r="H280" s="105"/>
      <c r="I280" s="108">
        <f>I277</f>
        <v>18</v>
      </c>
      <c r="J280" s="108" t="str">
        <f>J275</f>
        <v>2500 mm</v>
      </c>
      <c r="K280" s="118">
        <v>1</v>
      </c>
      <c r="L280" s="118" t="s">
        <v>81</v>
      </c>
      <c r="M280" s="128">
        <f t="shared" si="62"/>
        <v>2.5</v>
      </c>
      <c r="N280" s="104" t="s">
        <v>139</v>
      </c>
      <c r="O280" s="162">
        <f>VLOOKUP(I280,BM!$B$3:$Y$62,10,FALSE)</f>
        <v>1</v>
      </c>
      <c r="P280" s="104" t="s">
        <v>112</v>
      </c>
      <c r="Q280" s="150">
        <f t="shared" si="50"/>
        <v>2.5</v>
      </c>
      <c r="R280" s="148">
        <v>1</v>
      </c>
      <c r="S280" s="150">
        <f t="shared" si="51"/>
        <v>3.5</v>
      </c>
      <c r="T280" s="149" t="s">
        <v>48</v>
      </c>
    </row>
    <row r="281" spans="3:20" ht="20.25" customHeight="1">
      <c r="C281" s="96"/>
      <c r="D281" s="102">
        <f t="shared" si="60"/>
        <v>281</v>
      </c>
      <c r="E281" s="106" t="s">
        <v>298</v>
      </c>
      <c r="F281" s="108">
        <f t="shared" si="52"/>
        <v>280</v>
      </c>
      <c r="G281" s="105" t="s">
        <v>299</v>
      </c>
      <c r="H281" s="105"/>
      <c r="I281" s="108">
        <f>I277</f>
        <v>18</v>
      </c>
      <c r="J281" s="108" t="str">
        <f>J276</f>
        <v>1250 mm</v>
      </c>
      <c r="K281" s="118">
        <v>1</v>
      </c>
      <c r="L281" s="118" t="s">
        <v>81</v>
      </c>
      <c r="M281" s="128">
        <f t="shared" si="62"/>
        <v>1.25</v>
      </c>
      <c r="N281" s="104" t="s">
        <v>139</v>
      </c>
      <c r="O281" s="162">
        <f>VLOOKUP(I281,BM!$B$3:$Y$62,10,FALSE)</f>
        <v>1</v>
      </c>
      <c r="P281" s="104" t="s">
        <v>112</v>
      </c>
      <c r="Q281" s="150">
        <f t="shared" si="50"/>
        <v>1.25</v>
      </c>
      <c r="R281" s="148">
        <v>1</v>
      </c>
      <c r="S281" s="150">
        <f t="shared" si="51"/>
        <v>2.25</v>
      </c>
      <c r="T281" s="149" t="s">
        <v>48</v>
      </c>
    </row>
    <row r="282" spans="3:20" ht="20.25" customHeight="1">
      <c r="C282" s="96"/>
      <c r="D282" s="102">
        <f t="shared" si="60"/>
        <v>282</v>
      </c>
      <c r="E282" s="106" t="s">
        <v>298</v>
      </c>
      <c r="F282" s="108">
        <f t="shared" si="52"/>
        <v>281</v>
      </c>
      <c r="G282" s="105" t="s">
        <v>299</v>
      </c>
      <c r="H282" s="105"/>
      <c r="I282" s="108">
        <f>I277</f>
        <v>18</v>
      </c>
      <c r="J282" s="108" t="str">
        <f>J277</f>
        <v>0 mm</v>
      </c>
      <c r="K282" s="118">
        <v>1</v>
      </c>
      <c r="L282" s="118" t="s">
        <v>81</v>
      </c>
      <c r="M282" s="128">
        <f t="shared" si="62"/>
        <v>0</v>
      </c>
      <c r="N282" s="104" t="s">
        <v>139</v>
      </c>
      <c r="O282" s="162">
        <f>VLOOKUP(I282,BM!$B$3:$Y$62,10,FALSE)</f>
        <v>1</v>
      </c>
      <c r="P282" s="104" t="s">
        <v>112</v>
      </c>
      <c r="Q282" s="150">
        <f t="shared" si="50"/>
        <v>0</v>
      </c>
      <c r="R282" s="148">
        <v>1</v>
      </c>
      <c r="S282" s="150">
        <f t="shared" si="51"/>
        <v>1</v>
      </c>
      <c r="T282" s="149" t="s">
        <v>48</v>
      </c>
    </row>
    <row r="283" spans="3:20" ht="20.25" customHeight="1">
      <c r="C283" s="96">
        <f>D283</f>
        <v>283</v>
      </c>
      <c r="D283" s="102">
        <f t="shared" si="60"/>
        <v>283</v>
      </c>
      <c r="E283" s="103" t="s">
        <v>300</v>
      </c>
      <c r="F283" s="108">
        <f>D278</f>
        <v>278</v>
      </c>
      <c r="G283" s="105"/>
      <c r="H283" s="105"/>
      <c r="I283" s="104"/>
      <c r="J283" s="104"/>
      <c r="K283" s="118"/>
      <c r="L283" s="118"/>
      <c r="M283" s="119"/>
      <c r="N283" s="104"/>
      <c r="O283" s="120"/>
      <c r="P283" s="104"/>
      <c r="Q283" s="150"/>
      <c r="R283" s="148"/>
      <c r="S283" s="150"/>
      <c r="T283" s="149"/>
    </row>
    <row r="284" spans="3:20" ht="20.25" customHeight="1">
      <c r="C284" s="96"/>
      <c r="D284" s="102">
        <f t="shared" si="60"/>
        <v>284</v>
      </c>
      <c r="E284" s="106" t="s">
        <v>301</v>
      </c>
      <c r="F284" s="108">
        <f t="shared" si="52"/>
        <v>283</v>
      </c>
      <c r="G284" s="105" t="s">
        <v>44</v>
      </c>
      <c r="H284" s="105"/>
      <c r="I284" s="108">
        <f>I282</f>
        <v>18</v>
      </c>
      <c r="J284" s="108" t="str">
        <f>J279</f>
        <v>2500 mm</v>
      </c>
      <c r="K284" s="118">
        <v>1</v>
      </c>
      <c r="L284" s="118" t="s">
        <v>81</v>
      </c>
      <c r="M284" s="128">
        <v>1</v>
      </c>
      <c r="N284" s="104" t="s">
        <v>39</v>
      </c>
      <c r="O284" s="162">
        <f>VLOOKUP(I284,BM!$B$3:$Y$62,11,FALSE)</f>
        <v>1</v>
      </c>
      <c r="P284" s="104" t="s">
        <v>112</v>
      </c>
      <c r="Q284" s="150">
        <f t="shared" ref="Q284:Q347" si="63">M284*O284</f>
        <v>1</v>
      </c>
      <c r="R284" s="148">
        <v>1</v>
      </c>
      <c r="S284" s="150">
        <f t="shared" ref="S284:S347" si="64">Q284+R284</f>
        <v>2</v>
      </c>
      <c r="T284" s="149" t="s">
        <v>48</v>
      </c>
    </row>
    <row r="285" spans="3:20" ht="20.25" customHeight="1">
      <c r="C285" s="96"/>
      <c r="D285" s="102">
        <f t="shared" si="60"/>
        <v>285</v>
      </c>
      <c r="E285" s="106" t="s">
        <v>301</v>
      </c>
      <c r="F285" s="108">
        <f t="shared" ref="F285:F348" si="65">D284</f>
        <v>284</v>
      </c>
      <c r="G285" s="105" t="s">
        <v>44</v>
      </c>
      <c r="H285" s="105"/>
      <c r="I285" s="108">
        <f>I282</f>
        <v>18</v>
      </c>
      <c r="J285" s="108" t="str">
        <f>J280</f>
        <v>2500 mm</v>
      </c>
      <c r="K285" s="118">
        <v>1</v>
      </c>
      <c r="L285" s="118" t="s">
        <v>81</v>
      </c>
      <c r="M285" s="128">
        <v>1</v>
      </c>
      <c r="N285" s="104" t="s">
        <v>39</v>
      </c>
      <c r="O285" s="162">
        <f>VLOOKUP(I285,BM!$B$3:$Y$62,11,FALSE)</f>
        <v>1</v>
      </c>
      <c r="P285" s="104" t="s">
        <v>112</v>
      </c>
      <c r="Q285" s="150">
        <f t="shared" si="63"/>
        <v>1</v>
      </c>
      <c r="R285" s="148">
        <v>1</v>
      </c>
      <c r="S285" s="150">
        <f t="shared" si="64"/>
        <v>2</v>
      </c>
      <c r="T285" s="149" t="s">
        <v>48</v>
      </c>
    </row>
    <row r="286" spans="3:20" ht="20.25" customHeight="1">
      <c r="C286" s="96"/>
      <c r="D286" s="102">
        <f t="shared" si="60"/>
        <v>286</v>
      </c>
      <c r="E286" s="106" t="s">
        <v>301</v>
      </c>
      <c r="F286" s="108">
        <f t="shared" si="65"/>
        <v>285</v>
      </c>
      <c r="G286" s="105" t="s">
        <v>44</v>
      </c>
      <c r="H286" s="105"/>
      <c r="I286" s="108">
        <f>I282</f>
        <v>18</v>
      </c>
      <c r="J286" s="108" t="str">
        <f>J281</f>
        <v>1250 mm</v>
      </c>
      <c r="K286" s="118">
        <v>1</v>
      </c>
      <c r="L286" s="118" t="s">
        <v>81</v>
      </c>
      <c r="M286" s="128">
        <v>1</v>
      </c>
      <c r="N286" s="104" t="s">
        <v>39</v>
      </c>
      <c r="O286" s="162">
        <f>VLOOKUP(I286,BM!$B$3:$Y$62,11,FALSE)</f>
        <v>1</v>
      </c>
      <c r="P286" s="104" t="s">
        <v>112</v>
      </c>
      <c r="Q286" s="150">
        <f t="shared" si="63"/>
        <v>1</v>
      </c>
      <c r="R286" s="148">
        <v>1</v>
      </c>
      <c r="S286" s="150">
        <f t="shared" si="64"/>
        <v>2</v>
      </c>
      <c r="T286" s="149" t="s">
        <v>48</v>
      </c>
    </row>
    <row r="287" spans="3:20" ht="20.25" customHeight="1">
      <c r="C287" s="96"/>
      <c r="D287" s="102">
        <f t="shared" si="60"/>
        <v>287</v>
      </c>
      <c r="E287" s="106" t="s">
        <v>301</v>
      </c>
      <c r="F287" s="108">
        <f t="shared" si="65"/>
        <v>286</v>
      </c>
      <c r="G287" s="105" t="s">
        <v>44</v>
      </c>
      <c r="H287" s="105"/>
      <c r="I287" s="108">
        <f>I282</f>
        <v>18</v>
      </c>
      <c r="J287" s="108" t="str">
        <f>J282</f>
        <v>0 mm</v>
      </c>
      <c r="K287" s="118">
        <v>1</v>
      </c>
      <c r="L287" s="118" t="s">
        <v>81</v>
      </c>
      <c r="M287" s="128">
        <v>1</v>
      </c>
      <c r="N287" s="104" t="s">
        <v>39</v>
      </c>
      <c r="O287" s="162">
        <f>VLOOKUP(I287,BM!$B$3:$Y$62,11,FALSE)</f>
        <v>1</v>
      </c>
      <c r="P287" s="104" t="s">
        <v>112</v>
      </c>
      <c r="Q287" s="150">
        <f t="shared" si="63"/>
        <v>1</v>
      </c>
      <c r="R287" s="148">
        <v>1</v>
      </c>
      <c r="S287" s="150">
        <f t="shared" si="64"/>
        <v>2</v>
      </c>
      <c r="T287" s="149" t="s">
        <v>48</v>
      </c>
    </row>
    <row r="288" spans="3:20" ht="20.25" customHeight="1">
      <c r="C288" s="96">
        <f>D288</f>
        <v>288</v>
      </c>
      <c r="D288" s="102">
        <f t="shared" si="60"/>
        <v>288</v>
      </c>
      <c r="E288" s="103" t="s">
        <v>760</v>
      </c>
      <c r="F288" s="108">
        <f>D283</f>
        <v>283</v>
      </c>
      <c r="G288" s="105"/>
      <c r="H288" s="105"/>
      <c r="I288" s="104"/>
      <c r="J288" s="104"/>
      <c r="K288" s="118"/>
      <c r="L288" s="118"/>
      <c r="M288" s="119"/>
      <c r="N288" s="104"/>
      <c r="O288" s="120"/>
      <c r="P288" s="104"/>
      <c r="Q288" s="150"/>
      <c r="R288" s="148"/>
      <c r="S288" s="150"/>
      <c r="T288" s="149"/>
    </row>
    <row r="289" spans="3:20" ht="20.25" customHeight="1">
      <c r="C289" s="96"/>
      <c r="D289" s="102">
        <f t="shared" si="60"/>
        <v>289</v>
      </c>
      <c r="E289" s="106" t="s">
        <v>303</v>
      </c>
      <c r="F289" s="108">
        <f t="shared" si="65"/>
        <v>288</v>
      </c>
      <c r="G289" s="105" t="s">
        <v>115</v>
      </c>
      <c r="H289" s="105"/>
      <c r="I289" s="104">
        <v>12</v>
      </c>
      <c r="J289" s="108" t="str">
        <f>J284</f>
        <v>2500 mm</v>
      </c>
      <c r="K289" s="118">
        <v>1</v>
      </c>
      <c r="L289" s="118" t="s">
        <v>81</v>
      </c>
      <c r="M289" s="128">
        <f t="shared" si="62"/>
        <v>2.5</v>
      </c>
      <c r="N289" s="104" t="s">
        <v>139</v>
      </c>
      <c r="O289" s="162">
        <f>VLOOKUP(I289,BM!$B$3:$Y$62,12,FALSE)</f>
        <v>2.5</v>
      </c>
      <c r="P289" s="104" t="s">
        <v>112</v>
      </c>
      <c r="Q289" s="150">
        <f t="shared" si="63"/>
        <v>6.25</v>
      </c>
      <c r="R289" s="148">
        <v>1</v>
      </c>
      <c r="S289" s="150">
        <f t="shared" si="64"/>
        <v>7.25</v>
      </c>
      <c r="T289" s="149" t="s">
        <v>48</v>
      </c>
    </row>
    <row r="290" spans="3:20" ht="20.25" customHeight="1">
      <c r="C290" s="96"/>
      <c r="D290" s="102">
        <f t="shared" si="60"/>
        <v>290</v>
      </c>
      <c r="E290" s="106" t="s">
        <v>303</v>
      </c>
      <c r="F290" s="108">
        <f t="shared" si="65"/>
        <v>289</v>
      </c>
      <c r="G290" s="105" t="s">
        <v>115</v>
      </c>
      <c r="H290" s="105"/>
      <c r="I290" s="108">
        <f>I289</f>
        <v>12</v>
      </c>
      <c r="J290" s="108" t="str">
        <f>J285</f>
        <v>2500 mm</v>
      </c>
      <c r="K290" s="118">
        <v>1</v>
      </c>
      <c r="L290" s="118" t="s">
        <v>81</v>
      </c>
      <c r="M290" s="128">
        <f t="shared" si="62"/>
        <v>2.5</v>
      </c>
      <c r="N290" s="104" t="s">
        <v>139</v>
      </c>
      <c r="O290" s="162">
        <f>VLOOKUP(I290,BM!$B$3:$Y$62,12,FALSE)</f>
        <v>2.5</v>
      </c>
      <c r="P290" s="104" t="s">
        <v>112</v>
      </c>
      <c r="Q290" s="150">
        <f t="shared" si="63"/>
        <v>6.25</v>
      </c>
      <c r="R290" s="148">
        <v>1</v>
      </c>
      <c r="S290" s="150">
        <f t="shared" si="64"/>
        <v>7.25</v>
      </c>
      <c r="T290" s="149" t="s">
        <v>48</v>
      </c>
    </row>
    <row r="291" spans="3:20" ht="20.25" customHeight="1">
      <c r="C291" s="96"/>
      <c r="D291" s="102">
        <f t="shared" si="60"/>
        <v>291</v>
      </c>
      <c r="E291" s="106" t="s">
        <v>303</v>
      </c>
      <c r="F291" s="108">
        <f t="shared" si="65"/>
        <v>290</v>
      </c>
      <c r="G291" s="105" t="s">
        <v>115</v>
      </c>
      <c r="H291" s="105"/>
      <c r="I291" s="108">
        <f>I290</f>
        <v>12</v>
      </c>
      <c r="J291" s="108" t="str">
        <f>J286</f>
        <v>1250 mm</v>
      </c>
      <c r="K291" s="118">
        <v>1</v>
      </c>
      <c r="L291" s="118" t="s">
        <v>81</v>
      </c>
      <c r="M291" s="128">
        <f t="shared" si="62"/>
        <v>1.25</v>
      </c>
      <c r="N291" s="104" t="s">
        <v>139</v>
      </c>
      <c r="O291" s="162">
        <f>VLOOKUP(I291,BM!$B$3:$Y$62,12,FALSE)</f>
        <v>2.5</v>
      </c>
      <c r="P291" s="104" t="s">
        <v>112</v>
      </c>
      <c r="Q291" s="150">
        <f t="shared" si="63"/>
        <v>3.125</v>
      </c>
      <c r="R291" s="148">
        <v>1</v>
      </c>
      <c r="S291" s="150">
        <f t="shared" si="64"/>
        <v>4.125</v>
      </c>
      <c r="T291" s="149" t="s">
        <v>48</v>
      </c>
    </row>
    <row r="292" spans="3:20" ht="20.25" customHeight="1">
      <c r="C292" s="96"/>
      <c r="D292" s="102">
        <f t="shared" si="60"/>
        <v>292</v>
      </c>
      <c r="E292" s="106" t="s">
        <v>303</v>
      </c>
      <c r="F292" s="108">
        <f t="shared" si="65"/>
        <v>291</v>
      </c>
      <c r="G292" s="105" t="s">
        <v>115</v>
      </c>
      <c r="H292" s="105"/>
      <c r="I292" s="108">
        <f>I291</f>
        <v>12</v>
      </c>
      <c r="J292" s="108" t="str">
        <f>J287</f>
        <v>0 mm</v>
      </c>
      <c r="K292" s="118">
        <v>1</v>
      </c>
      <c r="L292" s="118" t="s">
        <v>81</v>
      </c>
      <c r="M292" s="128">
        <f t="shared" si="62"/>
        <v>0</v>
      </c>
      <c r="N292" s="104" t="s">
        <v>139</v>
      </c>
      <c r="O292" s="162">
        <f>VLOOKUP(I292,BM!$B$3:$Y$62,12,FALSE)</f>
        <v>2.5</v>
      </c>
      <c r="P292" s="104" t="s">
        <v>112</v>
      </c>
      <c r="Q292" s="150">
        <f t="shared" si="63"/>
        <v>0</v>
      </c>
      <c r="R292" s="148">
        <v>1</v>
      </c>
      <c r="S292" s="150">
        <f t="shared" si="64"/>
        <v>1</v>
      </c>
      <c r="T292" s="149" t="s">
        <v>48</v>
      </c>
    </row>
    <row r="293" spans="3:20" ht="20.25" customHeight="1">
      <c r="C293" s="96">
        <f>D293</f>
        <v>293</v>
      </c>
      <c r="D293" s="102">
        <f t="shared" si="60"/>
        <v>293</v>
      </c>
      <c r="E293" s="103" t="s">
        <v>304</v>
      </c>
      <c r="F293" s="108">
        <f>D288</f>
        <v>288</v>
      </c>
      <c r="G293" s="105"/>
      <c r="H293" s="105"/>
      <c r="I293" s="104"/>
      <c r="J293" s="104"/>
      <c r="K293" s="118"/>
      <c r="L293" s="118"/>
      <c r="M293" s="119"/>
      <c r="N293" s="104"/>
      <c r="O293" s="120"/>
      <c r="P293" s="104"/>
      <c r="Q293" s="150"/>
      <c r="R293" s="148"/>
      <c r="S293" s="150"/>
      <c r="T293" s="149"/>
    </row>
    <row r="294" spans="3:20" ht="20.25" customHeight="1">
      <c r="C294" s="96"/>
      <c r="D294" s="102">
        <f t="shared" si="60"/>
        <v>294</v>
      </c>
      <c r="E294" s="106" t="s">
        <v>305</v>
      </c>
      <c r="F294" s="108">
        <f t="shared" si="65"/>
        <v>293</v>
      </c>
      <c r="G294" s="105" t="s">
        <v>61</v>
      </c>
      <c r="H294" s="105"/>
      <c r="I294" s="104">
        <v>18</v>
      </c>
      <c r="J294" s="108" t="str">
        <f>J289</f>
        <v>2500 mm</v>
      </c>
      <c r="K294" s="118">
        <v>1</v>
      </c>
      <c r="L294" s="118" t="s">
        <v>81</v>
      </c>
      <c r="M294" s="128">
        <f t="shared" si="62"/>
        <v>2.5</v>
      </c>
      <c r="N294" s="104" t="s">
        <v>139</v>
      </c>
      <c r="O294" s="162">
        <f>VLOOKUP(I294,BM!$B$3:$Y$62,18,FALSE)</f>
        <v>1</v>
      </c>
      <c r="P294" s="104" t="s">
        <v>112</v>
      </c>
      <c r="Q294" s="150">
        <f t="shared" si="63"/>
        <v>2.5</v>
      </c>
      <c r="R294" s="148">
        <v>1</v>
      </c>
      <c r="S294" s="150">
        <f t="shared" si="64"/>
        <v>3.5</v>
      </c>
      <c r="T294" s="149" t="s">
        <v>48</v>
      </c>
    </row>
    <row r="295" spans="3:20" ht="20.25" customHeight="1">
      <c r="C295" s="96"/>
      <c r="D295" s="102">
        <f t="shared" si="60"/>
        <v>295</v>
      </c>
      <c r="E295" s="106" t="s">
        <v>305</v>
      </c>
      <c r="F295" s="108">
        <f t="shared" si="65"/>
        <v>294</v>
      </c>
      <c r="G295" s="105" t="s">
        <v>61</v>
      </c>
      <c r="H295" s="105"/>
      <c r="I295" s="104">
        <v>18</v>
      </c>
      <c r="J295" s="108" t="str">
        <f>J290</f>
        <v>2500 mm</v>
      </c>
      <c r="K295" s="118">
        <v>1</v>
      </c>
      <c r="L295" s="118" t="s">
        <v>81</v>
      </c>
      <c r="M295" s="128">
        <f t="shared" si="62"/>
        <v>2.5</v>
      </c>
      <c r="N295" s="104" t="s">
        <v>139</v>
      </c>
      <c r="O295" s="162">
        <f>VLOOKUP(I295,BM!$B$3:$Y$62,18,FALSE)</f>
        <v>1</v>
      </c>
      <c r="P295" s="104" t="s">
        <v>112</v>
      </c>
      <c r="Q295" s="150">
        <f t="shared" si="63"/>
        <v>2.5</v>
      </c>
      <c r="R295" s="148">
        <v>1</v>
      </c>
      <c r="S295" s="150">
        <f t="shared" si="64"/>
        <v>3.5</v>
      </c>
      <c r="T295" s="149" t="s">
        <v>48</v>
      </c>
    </row>
    <row r="296" spans="3:20" ht="20.25" customHeight="1">
      <c r="C296" s="96"/>
      <c r="D296" s="102">
        <f t="shared" si="60"/>
        <v>296</v>
      </c>
      <c r="E296" s="106" t="s">
        <v>305</v>
      </c>
      <c r="F296" s="108">
        <f t="shared" si="65"/>
        <v>295</v>
      </c>
      <c r="G296" s="105" t="s">
        <v>61</v>
      </c>
      <c r="H296" s="105"/>
      <c r="I296" s="104">
        <v>18</v>
      </c>
      <c r="J296" s="108" t="str">
        <f>J291</f>
        <v>1250 mm</v>
      </c>
      <c r="K296" s="118">
        <v>1</v>
      </c>
      <c r="L296" s="118" t="s">
        <v>81</v>
      </c>
      <c r="M296" s="128">
        <f t="shared" si="62"/>
        <v>1.25</v>
      </c>
      <c r="N296" s="104" t="s">
        <v>139</v>
      </c>
      <c r="O296" s="162">
        <f>VLOOKUP(I296,BM!$B$3:$Y$62,18,FALSE)</f>
        <v>1</v>
      </c>
      <c r="P296" s="104" t="s">
        <v>112</v>
      </c>
      <c r="Q296" s="150">
        <f t="shared" si="63"/>
        <v>1.25</v>
      </c>
      <c r="R296" s="148">
        <v>1</v>
      </c>
      <c r="S296" s="150">
        <f t="shared" si="64"/>
        <v>2.25</v>
      </c>
      <c r="T296" s="149" t="s">
        <v>48</v>
      </c>
    </row>
    <row r="297" spans="3:20" ht="20.25" customHeight="1">
      <c r="C297" s="96"/>
      <c r="D297" s="102">
        <f t="shared" si="60"/>
        <v>297</v>
      </c>
      <c r="E297" s="106" t="s">
        <v>305</v>
      </c>
      <c r="F297" s="108">
        <f t="shared" si="65"/>
        <v>296</v>
      </c>
      <c r="G297" s="105" t="s">
        <v>61</v>
      </c>
      <c r="H297" s="105"/>
      <c r="I297" s="104">
        <v>18</v>
      </c>
      <c r="J297" s="108" t="str">
        <f>J292</f>
        <v>0 mm</v>
      </c>
      <c r="K297" s="118">
        <v>1</v>
      </c>
      <c r="L297" s="118" t="s">
        <v>81</v>
      </c>
      <c r="M297" s="128">
        <f t="shared" si="62"/>
        <v>0</v>
      </c>
      <c r="N297" s="104" t="s">
        <v>139</v>
      </c>
      <c r="O297" s="162">
        <f>VLOOKUP(I297,BM!$B$3:$Y$62,18,FALSE)</f>
        <v>1</v>
      </c>
      <c r="P297" s="104" t="s">
        <v>112</v>
      </c>
      <c r="Q297" s="150">
        <f t="shared" si="63"/>
        <v>0</v>
      </c>
      <c r="R297" s="148">
        <v>1</v>
      </c>
      <c r="S297" s="150">
        <f t="shared" si="64"/>
        <v>1</v>
      </c>
      <c r="T297" s="149" t="s">
        <v>48</v>
      </c>
    </row>
    <row r="298" spans="3:20" ht="20.25" customHeight="1">
      <c r="C298" s="96">
        <f>D298</f>
        <v>298</v>
      </c>
      <c r="D298" s="102">
        <f t="shared" si="60"/>
        <v>298</v>
      </c>
      <c r="E298" s="103" t="s">
        <v>306</v>
      </c>
      <c r="F298" s="108">
        <f>D293</f>
        <v>293</v>
      </c>
      <c r="G298" s="105"/>
      <c r="H298" s="105"/>
      <c r="I298" s="104"/>
      <c r="J298" s="104"/>
      <c r="K298" s="118"/>
      <c r="L298" s="118"/>
      <c r="M298" s="119"/>
      <c r="N298" s="104"/>
      <c r="O298" s="120"/>
      <c r="P298" s="104"/>
      <c r="Q298" s="150"/>
      <c r="R298" s="148"/>
      <c r="S298" s="150"/>
      <c r="T298" s="149"/>
    </row>
    <row r="299" spans="3:20" ht="20.25" customHeight="1">
      <c r="C299" s="96"/>
      <c r="D299" s="102">
        <f t="shared" si="60"/>
        <v>299</v>
      </c>
      <c r="E299" s="106" t="s">
        <v>307</v>
      </c>
      <c r="F299" s="108">
        <f t="shared" si="65"/>
        <v>298</v>
      </c>
      <c r="G299" s="105" t="s">
        <v>115</v>
      </c>
      <c r="H299" s="105"/>
      <c r="I299" s="104">
        <v>6</v>
      </c>
      <c r="J299" s="108" t="str">
        <f>J294</f>
        <v>2500 mm</v>
      </c>
      <c r="K299" s="118">
        <v>1</v>
      </c>
      <c r="L299" s="118" t="s">
        <v>81</v>
      </c>
      <c r="M299" s="128">
        <f t="shared" si="62"/>
        <v>2.5</v>
      </c>
      <c r="N299" s="104" t="s">
        <v>139</v>
      </c>
      <c r="O299" s="162">
        <f>VLOOKUP(I299,BM!$B$3:$Y$62,12,FALSE)</f>
        <v>0.9</v>
      </c>
      <c r="P299" s="104" t="s">
        <v>112</v>
      </c>
      <c r="Q299" s="150">
        <f t="shared" si="63"/>
        <v>2.25</v>
      </c>
      <c r="R299" s="148">
        <v>1</v>
      </c>
      <c r="S299" s="150">
        <f t="shared" si="64"/>
        <v>3.25</v>
      </c>
      <c r="T299" s="149" t="s">
        <v>48</v>
      </c>
    </row>
    <row r="300" spans="3:20" ht="20.25" customHeight="1">
      <c r="C300" s="96"/>
      <c r="D300" s="102">
        <f t="shared" si="60"/>
        <v>300</v>
      </c>
      <c r="E300" s="106" t="s">
        <v>307</v>
      </c>
      <c r="F300" s="108">
        <f t="shared" si="65"/>
        <v>299</v>
      </c>
      <c r="G300" s="105" t="s">
        <v>115</v>
      </c>
      <c r="H300" s="105"/>
      <c r="I300" s="108">
        <f>I299</f>
        <v>6</v>
      </c>
      <c r="J300" s="108" t="str">
        <f>J295</f>
        <v>2500 mm</v>
      </c>
      <c r="K300" s="118">
        <v>1</v>
      </c>
      <c r="L300" s="118" t="s">
        <v>81</v>
      </c>
      <c r="M300" s="128">
        <f t="shared" si="62"/>
        <v>2.5</v>
      </c>
      <c r="N300" s="104" t="s">
        <v>139</v>
      </c>
      <c r="O300" s="162">
        <f>VLOOKUP(I300,BM!$B$3:$Y$62,12,FALSE)</f>
        <v>0.9</v>
      </c>
      <c r="P300" s="104" t="s">
        <v>112</v>
      </c>
      <c r="Q300" s="150">
        <f t="shared" si="63"/>
        <v>2.25</v>
      </c>
      <c r="R300" s="148">
        <v>1</v>
      </c>
      <c r="S300" s="150">
        <f t="shared" si="64"/>
        <v>3.25</v>
      </c>
      <c r="T300" s="149" t="s">
        <v>48</v>
      </c>
    </row>
    <row r="301" spans="3:20" ht="20.25" customHeight="1">
      <c r="C301" s="96"/>
      <c r="D301" s="102">
        <f t="shared" si="60"/>
        <v>301</v>
      </c>
      <c r="E301" s="106" t="s">
        <v>307</v>
      </c>
      <c r="F301" s="108">
        <f t="shared" si="65"/>
        <v>300</v>
      </c>
      <c r="G301" s="105" t="s">
        <v>115</v>
      </c>
      <c r="H301" s="105"/>
      <c r="I301" s="108">
        <f>I300</f>
        <v>6</v>
      </c>
      <c r="J301" s="108" t="str">
        <f>J296</f>
        <v>1250 mm</v>
      </c>
      <c r="K301" s="118">
        <v>1</v>
      </c>
      <c r="L301" s="118" t="s">
        <v>81</v>
      </c>
      <c r="M301" s="128">
        <f t="shared" si="62"/>
        <v>1.25</v>
      </c>
      <c r="N301" s="104" t="s">
        <v>139</v>
      </c>
      <c r="O301" s="162">
        <f>VLOOKUP(I301,BM!$B$3:$Y$62,12,FALSE)</f>
        <v>0.9</v>
      </c>
      <c r="P301" s="104" t="s">
        <v>112</v>
      </c>
      <c r="Q301" s="150">
        <f t="shared" si="63"/>
        <v>1.125</v>
      </c>
      <c r="R301" s="148">
        <v>1</v>
      </c>
      <c r="S301" s="150">
        <f t="shared" si="64"/>
        <v>2.125</v>
      </c>
      <c r="T301" s="149" t="s">
        <v>48</v>
      </c>
    </row>
    <row r="302" spans="3:20" ht="20.25" customHeight="1">
      <c r="C302" s="96"/>
      <c r="D302" s="102">
        <f t="shared" si="60"/>
        <v>302</v>
      </c>
      <c r="E302" s="106" t="s">
        <v>307</v>
      </c>
      <c r="F302" s="108">
        <f t="shared" si="65"/>
        <v>301</v>
      </c>
      <c r="G302" s="105" t="s">
        <v>115</v>
      </c>
      <c r="H302" s="105"/>
      <c r="I302" s="108">
        <f>I301</f>
        <v>6</v>
      </c>
      <c r="J302" s="108" t="str">
        <f>J297</f>
        <v>0 mm</v>
      </c>
      <c r="K302" s="118">
        <v>1</v>
      </c>
      <c r="L302" s="118" t="s">
        <v>81</v>
      </c>
      <c r="M302" s="128">
        <f t="shared" si="62"/>
        <v>0</v>
      </c>
      <c r="N302" s="104" t="s">
        <v>139</v>
      </c>
      <c r="O302" s="162">
        <f>VLOOKUP(I302,BM!$B$3:$Y$62,12,FALSE)</f>
        <v>0.9</v>
      </c>
      <c r="P302" s="104" t="s">
        <v>112</v>
      </c>
      <c r="Q302" s="150">
        <f t="shared" si="63"/>
        <v>0</v>
      </c>
      <c r="R302" s="148">
        <v>1</v>
      </c>
      <c r="S302" s="150">
        <f t="shared" si="64"/>
        <v>1</v>
      </c>
      <c r="T302" s="149" t="s">
        <v>48</v>
      </c>
    </row>
    <row r="303" spans="3:20" ht="20.25" customHeight="1">
      <c r="C303" s="96">
        <f>D303</f>
        <v>303</v>
      </c>
      <c r="D303" s="102">
        <f t="shared" si="60"/>
        <v>303</v>
      </c>
      <c r="E303" s="103" t="s">
        <v>308</v>
      </c>
      <c r="F303" s="108">
        <f>D298</f>
        <v>298</v>
      </c>
      <c r="G303" s="105"/>
      <c r="H303" s="105"/>
      <c r="I303" s="104"/>
      <c r="J303" s="104"/>
      <c r="K303" s="118"/>
      <c r="L303" s="118"/>
      <c r="M303" s="119"/>
      <c r="N303" s="104"/>
      <c r="O303" s="120"/>
      <c r="P303" s="104"/>
      <c r="Q303" s="150"/>
      <c r="R303" s="148"/>
      <c r="S303" s="150"/>
      <c r="T303" s="149"/>
    </row>
    <row r="304" spans="3:20" ht="20.25" customHeight="1">
      <c r="C304" s="96"/>
      <c r="D304" s="102">
        <f t="shared" si="60"/>
        <v>304</v>
      </c>
      <c r="E304" s="106" t="s">
        <v>309</v>
      </c>
      <c r="F304" s="108">
        <f t="shared" si="65"/>
        <v>303</v>
      </c>
      <c r="G304" s="105" t="s">
        <v>61</v>
      </c>
      <c r="H304" s="105"/>
      <c r="I304" s="108">
        <f>I294</f>
        <v>18</v>
      </c>
      <c r="J304" s="108" t="str">
        <f>J299</f>
        <v>2500 mm</v>
      </c>
      <c r="K304" s="118">
        <v>1</v>
      </c>
      <c r="L304" s="118" t="s">
        <v>81</v>
      </c>
      <c r="M304" s="128">
        <f t="shared" si="62"/>
        <v>2.5</v>
      </c>
      <c r="N304" s="104" t="s">
        <v>139</v>
      </c>
      <c r="O304" s="162">
        <f>VLOOKUP(I304,BM!$B$3:$Y$62,20,FALSE)</f>
        <v>0.5</v>
      </c>
      <c r="P304" s="104" t="s">
        <v>112</v>
      </c>
      <c r="Q304" s="150">
        <f t="shared" si="63"/>
        <v>1.25</v>
      </c>
      <c r="R304" s="148">
        <v>1</v>
      </c>
      <c r="S304" s="150">
        <f t="shared" si="64"/>
        <v>2.25</v>
      </c>
      <c r="T304" s="149" t="s">
        <v>48</v>
      </c>
    </row>
    <row r="305" spans="3:20" ht="20.25" customHeight="1">
      <c r="C305" s="96"/>
      <c r="D305" s="102">
        <f t="shared" si="60"/>
        <v>305</v>
      </c>
      <c r="E305" s="106" t="s">
        <v>309</v>
      </c>
      <c r="F305" s="108">
        <f t="shared" si="65"/>
        <v>304</v>
      </c>
      <c r="G305" s="105" t="s">
        <v>61</v>
      </c>
      <c r="H305" s="105"/>
      <c r="I305" s="108">
        <f t="shared" ref="I305:I307" si="66">I304</f>
        <v>18</v>
      </c>
      <c r="J305" s="108" t="str">
        <f>J300</f>
        <v>2500 mm</v>
      </c>
      <c r="K305" s="118">
        <v>1</v>
      </c>
      <c r="L305" s="118" t="s">
        <v>81</v>
      </c>
      <c r="M305" s="128">
        <f t="shared" si="62"/>
        <v>2.5</v>
      </c>
      <c r="N305" s="104" t="s">
        <v>139</v>
      </c>
      <c r="O305" s="162">
        <f>VLOOKUP(I305,BM!$B$3:$Y$62,20,FALSE)</f>
        <v>0.5</v>
      </c>
      <c r="P305" s="104" t="s">
        <v>112</v>
      </c>
      <c r="Q305" s="150">
        <f t="shared" si="63"/>
        <v>1.25</v>
      </c>
      <c r="R305" s="148">
        <v>1</v>
      </c>
      <c r="S305" s="150">
        <f t="shared" si="64"/>
        <v>2.25</v>
      </c>
      <c r="T305" s="149" t="s">
        <v>48</v>
      </c>
    </row>
    <row r="306" spans="3:20" ht="20.25" customHeight="1">
      <c r="C306" s="96"/>
      <c r="D306" s="102">
        <f t="shared" si="60"/>
        <v>306</v>
      </c>
      <c r="E306" s="106" t="s">
        <v>309</v>
      </c>
      <c r="F306" s="108">
        <f t="shared" si="65"/>
        <v>305</v>
      </c>
      <c r="G306" s="105" t="s">
        <v>61</v>
      </c>
      <c r="H306" s="105"/>
      <c r="I306" s="108">
        <f t="shared" si="66"/>
        <v>18</v>
      </c>
      <c r="J306" s="108" t="str">
        <f>J301</f>
        <v>1250 mm</v>
      </c>
      <c r="K306" s="118">
        <v>1</v>
      </c>
      <c r="L306" s="118" t="s">
        <v>81</v>
      </c>
      <c r="M306" s="128">
        <f t="shared" si="62"/>
        <v>1.25</v>
      </c>
      <c r="N306" s="104" t="s">
        <v>139</v>
      </c>
      <c r="O306" s="162">
        <f>VLOOKUP(I306,BM!$B$3:$Y$62,20,FALSE)</f>
        <v>0.5</v>
      </c>
      <c r="P306" s="104" t="s">
        <v>112</v>
      </c>
      <c r="Q306" s="150">
        <f t="shared" si="63"/>
        <v>0.625</v>
      </c>
      <c r="R306" s="148">
        <v>1</v>
      </c>
      <c r="S306" s="150">
        <f t="shared" si="64"/>
        <v>1.625</v>
      </c>
      <c r="T306" s="149" t="s">
        <v>48</v>
      </c>
    </row>
    <row r="307" spans="3:20" ht="20.25" customHeight="1">
      <c r="C307" s="96"/>
      <c r="D307" s="102">
        <f t="shared" si="60"/>
        <v>307</v>
      </c>
      <c r="E307" s="106" t="s">
        <v>309</v>
      </c>
      <c r="F307" s="108">
        <f t="shared" si="65"/>
        <v>306</v>
      </c>
      <c r="G307" s="105" t="s">
        <v>61</v>
      </c>
      <c r="H307" s="105"/>
      <c r="I307" s="108">
        <f t="shared" si="66"/>
        <v>18</v>
      </c>
      <c r="J307" s="108" t="str">
        <f>J302</f>
        <v>0 mm</v>
      </c>
      <c r="K307" s="118">
        <v>1</v>
      </c>
      <c r="L307" s="118" t="s">
        <v>81</v>
      </c>
      <c r="M307" s="128">
        <f t="shared" si="62"/>
        <v>0</v>
      </c>
      <c r="N307" s="104" t="s">
        <v>139</v>
      </c>
      <c r="O307" s="162">
        <f>VLOOKUP(I307,BM!$B$3:$Y$62,20,FALSE)</f>
        <v>0.5</v>
      </c>
      <c r="P307" s="104" t="s">
        <v>112</v>
      </c>
      <c r="Q307" s="150">
        <f t="shared" si="63"/>
        <v>0</v>
      </c>
      <c r="R307" s="148">
        <v>1</v>
      </c>
      <c r="S307" s="150">
        <f t="shared" si="64"/>
        <v>1</v>
      </c>
      <c r="T307" s="149" t="s">
        <v>48</v>
      </c>
    </row>
    <row r="308" spans="3:20" ht="20.25" customHeight="1">
      <c r="C308" s="96">
        <f>D308</f>
        <v>308</v>
      </c>
      <c r="D308" s="102">
        <f t="shared" si="60"/>
        <v>308</v>
      </c>
      <c r="E308" s="103" t="s">
        <v>310</v>
      </c>
      <c r="F308" s="108">
        <f>D303</f>
        <v>303</v>
      </c>
      <c r="G308" s="105"/>
      <c r="H308" s="105"/>
      <c r="I308" s="104"/>
      <c r="J308" s="104"/>
      <c r="K308" s="118"/>
      <c r="L308" s="118"/>
      <c r="M308" s="119"/>
      <c r="N308" s="104"/>
      <c r="O308" s="120"/>
      <c r="P308" s="104"/>
      <c r="Q308" s="150"/>
      <c r="R308" s="148"/>
      <c r="S308" s="150"/>
      <c r="T308" s="149"/>
    </row>
    <row r="309" spans="3:20" ht="20.25" customHeight="1">
      <c r="C309" s="96"/>
      <c r="D309" s="102">
        <f t="shared" si="60"/>
        <v>309</v>
      </c>
      <c r="E309" s="106" t="s">
        <v>311</v>
      </c>
      <c r="F309" s="108">
        <f t="shared" si="65"/>
        <v>308</v>
      </c>
      <c r="G309" s="105" t="s">
        <v>312</v>
      </c>
      <c r="H309" s="105"/>
      <c r="I309" s="108">
        <f>I307</f>
        <v>18</v>
      </c>
      <c r="J309" s="108" t="str">
        <f>J304</f>
        <v>2500 mm</v>
      </c>
      <c r="K309" s="118">
        <v>1</v>
      </c>
      <c r="L309" s="118" t="s">
        <v>81</v>
      </c>
      <c r="M309" s="119">
        <v>1</v>
      </c>
      <c r="N309" s="104" t="s">
        <v>39</v>
      </c>
      <c r="O309" s="120">
        <v>1</v>
      </c>
      <c r="P309" s="104" t="s">
        <v>41</v>
      </c>
      <c r="Q309" s="150">
        <f t="shared" si="63"/>
        <v>1</v>
      </c>
      <c r="R309" s="148"/>
      <c r="S309" s="150">
        <f t="shared" si="64"/>
        <v>1</v>
      </c>
      <c r="T309" s="152" t="s">
        <v>41</v>
      </c>
    </row>
    <row r="310" spans="3:20" ht="20.25" customHeight="1">
      <c r="C310" s="96"/>
      <c r="D310" s="102">
        <f t="shared" si="60"/>
        <v>310</v>
      </c>
      <c r="E310" s="106" t="s">
        <v>311</v>
      </c>
      <c r="F310" s="108">
        <f t="shared" si="65"/>
        <v>309</v>
      </c>
      <c r="G310" s="105" t="s">
        <v>312</v>
      </c>
      <c r="H310" s="105"/>
      <c r="I310" s="108">
        <f t="shared" ref="I310:I312" si="67">I309</f>
        <v>18</v>
      </c>
      <c r="J310" s="108" t="str">
        <f>J305</f>
        <v>2500 mm</v>
      </c>
      <c r="K310" s="118">
        <v>1</v>
      </c>
      <c r="L310" s="118" t="s">
        <v>81</v>
      </c>
      <c r="M310" s="119">
        <v>1</v>
      </c>
      <c r="N310" s="104" t="s">
        <v>39</v>
      </c>
      <c r="O310" s="162">
        <f t="shared" ref="O310:P312" si="68">O309</f>
        <v>1</v>
      </c>
      <c r="P310" s="108" t="str">
        <f t="shared" si="68"/>
        <v>Day</v>
      </c>
      <c r="Q310" s="150">
        <f t="shared" si="63"/>
        <v>1</v>
      </c>
      <c r="R310" s="148"/>
      <c r="S310" s="150">
        <f t="shared" si="64"/>
        <v>1</v>
      </c>
      <c r="T310" s="152" t="s">
        <v>41</v>
      </c>
    </row>
    <row r="311" spans="3:20" ht="20.25" customHeight="1">
      <c r="C311" s="96"/>
      <c r="D311" s="102">
        <f t="shared" si="60"/>
        <v>311</v>
      </c>
      <c r="E311" s="106" t="s">
        <v>311</v>
      </c>
      <c r="F311" s="108">
        <f t="shared" si="65"/>
        <v>310</v>
      </c>
      <c r="G311" s="105" t="s">
        <v>312</v>
      </c>
      <c r="H311" s="105"/>
      <c r="I311" s="108">
        <f t="shared" si="67"/>
        <v>18</v>
      </c>
      <c r="J311" s="108" t="str">
        <f>J306</f>
        <v>1250 mm</v>
      </c>
      <c r="K311" s="118">
        <v>1</v>
      </c>
      <c r="L311" s="118" t="s">
        <v>81</v>
      </c>
      <c r="M311" s="119">
        <v>1</v>
      </c>
      <c r="N311" s="104" t="s">
        <v>39</v>
      </c>
      <c r="O311" s="162">
        <f t="shared" si="68"/>
        <v>1</v>
      </c>
      <c r="P311" s="108" t="str">
        <f t="shared" si="68"/>
        <v>Day</v>
      </c>
      <c r="Q311" s="150">
        <f t="shared" si="63"/>
        <v>1</v>
      </c>
      <c r="R311" s="148"/>
      <c r="S311" s="150">
        <f t="shared" si="64"/>
        <v>1</v>
      </c>
      <c r="T311" s="152" t="s">
        <v>41</v>
      </c>
    </row>
    <row r="312" spans="3:20" ht="20.25" customHeight="1">
      <c r="C312" s="96"/>
      <c r="D312" s="102">
        <f t="shared" si="60"/>
        <v>312</v>
      </c>
      <c r="E312" s="106" t="s">
        <v>311</v>
      </c>
      <c r="F312" s="108">
        <f t="shared" si="65"/>
        <v>311</v>
      </c>
      <c r="G312" s="105" t="s">
        <v>312</v>
      </c>
      <c r="H312" s="105"/>
      <c r="I312" s="108">
        <f t="shared" si="67"/>
        <v>18</v>
      </c>
      <c r="J312" s="108" t="str">
        <f>J307</f>
        <v>0 mm</v>
      </c>
      <c r="K312" s="118">
        <v>1</v>
      </c>
      <c r="L312" s="118" t="s">
        <v>81</v>
      </c>
      <c r="M312" s="119">
        <v>1</v>
      </c>
      <c r="N312" s="104" t="s">
        <v>39</v>
      </c>
      <c r="O312" s="162">
        <f t="shared" si="68"/>
        <v>1</v>
      </c>
      <c r="P312" s="108" t="str">
        <f t="shared" si="68"/>
        <v>Day</v>
      </c>
      <c r="Q312" s="150">
        <f t="shared" si="63"/>
        <v>1</v>
      </c>
      <c r="R312" s="148"/>
      <c r="S312" s="150">
        <f t="shared" si="64"/>
        <v>1</v>
      </c>
      <c r="T312" s="152" t="s">
        <v>41</v>
      </c>
    </row>
    <row r="313" spans="3:20" ht="20.25" customHeight="1">
      <c r="C313" s="96">
        <f>D313</f>
        <v>313</v>
      </c>
      <c r="D313" s="102">
        <f t="shared" si="60"/>
        <v>313</v>
      </c>
      <c r="E313" s="103" t="s">
        <v>314</v>
      </c>
      <c r="F313" s="108">
        <f>D308</f>
        <v>308</v>
      </c>
      <c r="G313" s="105"/>
      <c r="H313" s="105"/>
      <c r="I313" s="104"/>
      <c r="J313" s="104"/>
      <c r="K313" s="118"/>
      <c r="L313" s="118"/>
      <c r="M313" s="119"/>
      <c r="N313" s="104"/>
      <c r="O313" s="120"/>
      <c r="P313" s="104"/>
      <c r="Q313" s="150">
        <f t="shared" si="63"/>
        <v>0</v>
      </c>
      <c r="R313" s="148"/>
      <c r="S313" s="150"/>
      <c r="T313" s="149"/>
    </row>
    <row r="314" spans="3:20" ht="20.25" customHeight="1">
      <c r="C314" s="96"/>
      <c r="D314" s="102">
        <f t="shared" si="60"/>
        <v>314</v>
      </c>
      <c r="E314" s="106" t="s">
        <v>314</v>
      </c>
      <c r="F314" s="108">
        <f t="shared" si="65"/>
        <v>313</v>
      </c>
      <c r="G314" s="105" t="s">
        <v>286</v>
      </c>
      <c r="H314" s="105"/>
      <c r="I314" s="108">
        <f>I312</f>
        <v>18</v>
      </c>
      <c r="J314" s="108" t="str">
        <f>J309</f>
        <v>2500 mm</v>
      </c>
      <c r="K314" s="118">
        <v>1</v>
      </c>
      <c r="L314" s="118" t="s">
        <v>81</v>
      </c>
      <c r="M314" s="142">
        <f>K314</f>
        <v>1</v>
      </c>
      <c r="N314" s="104" t="s">
        <v>39</v>
      </c>
      <c r="O314" s="120">
        <v>3</v>
      </c>
      <c r="P314" s="104" t="s">
        <v>112</v>
      </c>
      <c r="Q314" s="150">
        <f t="shared" si="63"/>
        <v>3</v>
      </c>
      <c r="R314" s="148">
        <v>1</v>
      </c>
      <c r="S314" s="150">
        <f t="shared" si="64"/>
        <v>4</v>
      </c>
      <c r="T314" s="152" t="s">
        <v>48</v>
      </c>
    </row>
    <row r="315" spans="3:20" ht="20.25" customHeight="1">
      <c r="C315" s="96"/>
      <c r="D315" s="102">
        <f t="shared" si="60"/>
        <v>315</v>
      </c>
      <c r="E315" s="106" t="s">
        <v>314</v>
      </c>
      <c r="F315" s="108">
        <f t="shared" si="65"/>
        <v>314</v>
      </c>
      <c r="G315" s="105" t="s">
        <v>286</v>
      </c>
      <c r="H315" s="105"/>
      <c r="I315" s="108">
        <f>I312</f>
        <v>18</v>
      </c>
      <c r="J315" s="108" t="str">
        <f>J310</f>
        <v>2500 mm</v>
      </c>
      <c r="K315" s="118">
        <v>1</v>
      </c>
      <c r="L315" s="118" t="s">
        <v>81</v>
      </c>
      <c r="M315" s="142">
        <f>K315</f>
        <v>1</v>
      </c>
      <c r="N315" s="104" t="s">
        <v>39</v>
      </c>
      <c r="O315" s="162">
        <f>O314</f>
        <v>3</v>
      </c>
      <c r="P315" s="104" t="s">
        <v>112</v>
      </c>
      <c r="Q315" s="150">
        <f t="shared" si="63"/>
        <v>3</v>
      </c>
      <c r="R315" s="148">
        <v>1</v>
      </c>
      <c r="S315" s="150">
        <f t="shared" si="64"/>
        <v>4</v>
      </c>
      <c r="T315" s="152" t="s">
        <v>48</v>
      </c>
    </row>
    <row r="316" spans="3:20" ht="20.25" customHeight="1">
      <c r="C316" s="96"/>
      <c r="D316" s="102">
        <f t="shared" si="60"/>
        <v>316</v>
      </c>
      <c r="E316" s="106" t="s">
        <v>314</v>
      </c>
      <c r="F316" s="108">
        <f t="shared" si="65"/>
        <v>315</v>
      </c>
      <c r="G316" s="105" t="s">
        <v>286</v>
      </c>
      <c r="H316" s="105"/>
      <c r="I316" s="108">
        <f>I312</f>
        <v>18</v>
      </c>
      <c r="J316" s="108" t="str">
        <f>J311</f>
        <v>1250 mm</v>
      </c>
      <c r="K316" s="118">
        <v>1</v>
      </c>
      <c r="L316" s="118" t="s">
        <v>81</v>
      </c>
      <c r="M316" s="142">
        <f>K316</f>
        <v>1</v>
      </c>
      <c r="N316" s="104" t="s">
        <v>39</v>
      </c>
      <c r="O316" s="162">
        <f>O315</f>
        <v>3</v>
      </c>
      <c r="P316" s="104" t="s">
        <v>112</v>
      </c>
      <c r="Q316" s="150">
        <f t="shared" si="63"/>
        <v>3</v>
      </c>
      <c r="R316" s="148">
        <v>1</v>
      </c>
      <c r="S316" s="150">
        <f t="shared" si="64"/>
        <v>4</v>
      </c>
      <c r="T316" s="152" t="s">
        <v>48</v>
      </c>
    </row>
    <row r="317" spans="3:20" ht="20.25" customHeight="1">
      <c r="C317" s="96"/>
      <c r="D317" s="102">
        <f t="shared" si="60"/>
        <v>317</v>
      </c>
      <c r="E317" s="106" t="s">
        <v>314</v>
      </c>
      <c r="F317" s="108">
        <f t="shared" si="65"/>
        <v>316</v>
      </c>
      <c r="G317" s="105" t="s">
        <v>286</v>
      </c>
      <c r="H317" s="105"/>
      <c r="I317" s="108">
        <f>I312</f>
        <v>18</v>
      </c>
      <c r="J317" s="108" t="str">
        <f>J312</f>
        <v>0 mm</v>
      </c>
      <c r="K317" s="118">
        <v>1</v>
      </c>
      <c r="L317" s="118" t="s">
        <v>81</v>
      </c>
      <c r="M317" s="142">
        <f>K317</f>
        <v>1</v>
      </c>
      <c r="N317" s="104" t="s">
        <v>39</v>
      </c>
      <c r="O317" s="162">
        <f>O316</f>
        <v>3</v>
      </c>
      <c r="P317" s="104" t="s">
        <v>112</v>
      </c>
      <c r="Q317" s="150">
        <f t="shared" si="63"/>
        <v>3</v>
      </c>
      <c r="R317" s="148">
        <v>1</v>
      </c>
      <c r="S317" s="150">
        <f t="shared" si="64"/>
        <v>4</v>
      </c>
      <c r="T317" s="152" t="s">
        <v>48</v>
      </c>
    </row>
    <row r="318" spans="3:20" ht="20.25" customHeight="1">
      <c r="C318" s="96">
        <f>D318</f>
        <v>318</v>
      </c>
      <c r="D318" s="102">
        <f t="shared" si="60"/>
        <v>318</v>
      </c>
      <c r="E318" s="103" t="s">
        <v>315</v>
      </c>
      <c r="F318" s="108">
        <f>D313</f>
        <v>313</v>
      </c>
      <c r="G318" s="105"/>
      <c r="H318" s="105"/>
      <c r="I318" s="104"/>
      <c r="J318" s="104"/>
      <c r="K318" s="118"/>
      <c r="L318" s="118"/>
      <c r="M318" s="119"/>
      <c r="N318" s="104"/>
      <c r="O318" s="120"/>
      <c r="P318" s="104"/>
      <c r="Q318" s="150"/>
      <c r="R318" s="148"/>
      <c r="S318" s="150"/>
      <c r="T318" s="149"/>
    </row>
    <row r="319" spans="3:20" ht="20.25" customHeight="1">
      <c r="C319" s="96"/>
      <c r="D319" s="102">
        <f t="shared" si="60"/>
        <v>319</v>
      </c>
      <c r="E319" s="106" t="s">
        <v>316</v>
      </c>
      <c r="F319" s="108">
        <f t="shared" si="65"/>
        <v>318</v>
      </c>
      <c r="G319" s="105" t="s">
        <v>44</v>
      </c>
      <c r="H319" s="105"/>
      <c r="I319" s="104">
        <v>18</v>
      </c>
      <c r="J319" s="112" t="s">
        <v>317</v>
      </c>
      <c r="K319" s="118">
        <v>1</v>
      </c>
      <c r="L319" s="118" t="s">
        <v>81</v>
      </c>
      <c r="M319" s="128">
        <f>LEFT(J319,SEARCH(" ",J319,1)-1)*3.142*K319*0.001</f>
        <v>4.9015199999999997</v>
      </c>
      <c r="N319" s="104" t="s">
        <v>139</v>
      </c>
      <c r="O319" s="162">
        <f>VLOOKUP(I319,BM!$B$3:$Y$62,10,FALSE)</f>
        <v>1</v>
      </c>
      <c r="P319" s="104" t="s">
        <v>112</v>
      </c>
      <c r="Q319" s="150">
        <f t="shared" si="63"/>
        <v>4.9015199999999997</v>
      </c>
      <c r="R319" s="148">
        <v>1</v>
      </c>
      <c r="S319" s="150">
        <f t="shared" si="64"/>
        <v>5.9015199999999997</v>
      </c>
      <c r="T319" s="152" t="s">
        <v>48</v>
      </c>
    </row>
    <row r="320" spans="3:20" ht="20.25" customHeight="1">
      <c r="C320" s="96"/>
      <c r="D320" s="102">
        <f t="shared" si="60"/>
        <v>320</v>
      </c>
      <c r="E320" s="106" t="s">
        <v>316</v>
      </c>
      <c r="F320" s="108">
        <f t="shared" si="65"/>
        <v>319</v>
      </c>
      <c r="G320" s="105" t="s">
        <v>44</v>
      </c>
      <c r="H320" s="105"/>
      <c r="I320" s="104">
        <v>18</v>
      </c>
      <c r="J320" s="112" t="str">
        <f>J319</f>
        <v>1560 mm id</v>
      </c>
      <c r="K320" s="118">
        <v>1</v>
      </c>
      <c r="L320" s="118" t="s">
        <v>81</v>
      </c>
      <c r="M320" s="128">
        <f t="shared" ref="M320:M322" si="69">LEFT(J320,SEARCH(" ",J320,1)-1)*3.142*K320*0.001</f>
        <v>4.9015199999999997</v>
      </c>
      <c r="N320" s="104" t="s">
        <v>139</v>
      </c>
      <c r="O320" s="162">
        <f>VLOOKUP(I320,BM!$B$3:$Y$62,10,FALSE)</f>
        <v>1</v>
      </c>
      <c r="P320" s="104" t="s">
        <v>112</v>
      </c>
      <c r="Q320" s="150">
        <f t="shared" si="63"/>
        <v>4.9015199999999997</v>
      </c>
      <c r="R320" s="148">
        <v>1</v>
      </c>
      <c r="S320" s="150">
        <f t="shared" si="64"/>
        <v>5.9015199999999997</v>
      </c>
      <c r="T320" s="152" t="s">
        <v>48</v>
      </c>
    </row>
    <row r="321" spans="3:20" ht="20.25" customHeight="1">
      <c r="C321" s="96"/>
      <c r="D321" s="102">
        <f t="shared" si="60"/>
        <v>321</v>
      </c>
      <c r="E321" s="106" t="s">
        <v>316</v>
      </c>
      <c r="F321" s="108">
        <f t="shared" si="65"/>
        <v>320</v>
      </c>
      <c r="G321" s="105" t="s">
        <v>44</v>
      </c>
      <c r="H321" s="105"/>
      <c r="I321" s="104">
        <v>18</v>
      </c>
      <c r="J321" s="112" t="str">
        <f>J320</f>
        <v>1560 mm id</v>
      </c>
      <c r="K321" s="118">
        <v>1</v>
      </c>
      <c r="L321" s="118" t="s">
        <v>81</v>
      </c>
      <c r="M321" s="128">
        <f t="shared" si="69"/>
        <v>4.9015199999999997</v>
      </c>
      <c r="N321" s="104" t="s">
        <v>139</v>
      </c>
      <c r="O321" s="162">
        <f>VLOOKUP(I321,BM!$B$3:$Y$62,10,FALSE)</f>
        <v>1</v>
      </c>
      <c r="P321" s="104" t="s">
        <v>112</v>
      </c>
      <c r="Q321" s="150">
        <f t="shared" si="63"/>
        <v>4.9015199999999997</v>
      </c>
      <c r="R321" s="148">
        <v>1</v>
      </c>
      <c r="S321" s="150">
        <f t="shared" si="64"/>
        <v>5.9015199999999997</v>
      </c>
      <c r="T321" s="152" t="s">
        <v>48</v>
      </c>
    </row>
    <row r="322" spans="3:20" ht="20.25" customHeight="1">
      <c r="C322" s="96"/>
      <c r="D322" s="102">
        <f t="shared" si="60"/>
        <v>322</v>
      </c>
      <c r="E322" s="106" t="s">
        <v>316</v>
      </c>
      <c r="F322" s="108">
        <f t="shared" si="65"/>
        <v>321</v>
      </c>
      <c r="G322" s="105" t="s">
        <v>44</v>
      </c>
      <c r="H322" s="105"/>
      <c r="I322" s="104">
        <v>18</v>
      </c>
      <c r="J322" s="112" t="s">
        <v>318</v>
      </c>
      <c r="K322" s="118">
        <v>1</v>
      </c>
      <c r="L322" s="118" t="s">
        <v>81</v>
      </c>
      <c r="M322" s="128">
        <f t="shared" si="69"/>
        <v>0</v>
      </c>
      <c r="N322" s="104" t="s">
        <v>139</v>
      </c>
      <c r="O322" s="162">
        <f>VLOOKUP(I322,BM!$B$3:$Y$62,10,FALSE)</f>
        <v>1</v>
      </c>
      <c r="P322" s="104" t="s">
        <v>112</v>
      </c>
      <c r="Q322" s="150">
        <f t="shared" si="63"/>
        <v>0</v>
      </c>
      <c r="R322" s="148">
        <v>1</v>
      </c>
      <c r="S322" s="150">
        <f t="shared" si="64"/>
        <v>1</v>
      </c>
      <c r="T322" s="152" t="s">
        <v>48</v>
      </c>
    </row>
    <row r="323" spans="3:20" ht="20.25" customHeight="1">
      <c r="C323" s="96">
        <f>D323</f>
        <v>323</v>
      </c>
      <c r="D323" s="102">
        <f t="shared" ref="D323:D386" si="70">D322+1</f>
        <v>323</v>
      </c>
      <c r="E323" s="103" t="s">
        <v>319</v>
      </c>
      <c r="F323" s="108">
        <f>D318</f>
        <v>318</v>
      </c>
      <c r="G323" s="105"/>
      <c r="H323" s="105"/>
      <c r="I323" s="104"/>
      <c r="J323" s="104"/>
      <c r="K323" s="118"/>
      <c r="L323" s="118"/>
      <c r="M323" s="119"/>
      <c r="N323" s="104"/>
      <c r="O323" s="120"/>
      <c r="P323" s="104"/>
      <c r="Q323" s="150"/>
      <c r="R323" s="148"/>
      <c r="S323" s="150"/>
      <c r="T323" s="149"/>
    </row>
    <row r="324" spans="3:20" ht="20.25" customHeight="1">
      <c r="C324" s="96"/>
      <c r="D324" s="102">
        <f t="shared" si="70"/>
        <v>324</v>
      </c>
      <c r="E324" s="106" t="s">
        <v>320</v>
      </c>
      <c r="F324" s="108">
        <f t="shared" si="65"/>
        <v>323</v>
      </c>
      <c r="G324" s="105" t="s">
        <v>299</v>
      </c>
      <c r="H324" s="105"/>
      <c r="I324" s="104">
        <v>18</v>
      </c>
      <c r="J324" s="112" t="str">
        <f>J321</f>
        <v>1560 mm id</v>
      </c>
      <c r="K324" s="118">
        <v>1</v>
      </c>
      <c r="L324" s="118" t="s">
        <v>81</v>
      </c>
      <c r="M324" s="128">
        <f t="shared" ref="M324:M325" si="71">LEFT(J324,SEARCH(" ",J324,1)-1)*3.142*K324*0.001</f>
        <v>4.9015199999999997</v>
      </c>
      <c r="N324" s="104" t="s">
        <v>139</v>
      </c>
      <c r="O324" s="162">
        <f>VLOOKUP(I324,BM!$B$3:$Y$62,10,FALSE)</f>
        <v>1</v>
      </c>
      <c r="P324" s="104" t="s">
        <v>112</v>
      </c>
      <c r="Q324" s="150">
        <f t="shared" si="63"/>
        <v>4.9015199999999997</v>
      </c>
      <c r="R324" s="148">
        <v>1</v>
      </c>
      <c r="S324" s="150">
        <f t="shared" si="64"/>
        <v>5.9015199999999997</v>
      </c>
      <c r="T324" s="152" t="s">
        <v>48</v>
      </c>
    </row>
    <row r="325" spans="3:20" ht="20.25" customHeight="1">
      <c r="C325" s="96"/>
      <c r="D325" s="102">
        <f t="shared" si="70"/>
        <v>325</v>
      </c>
      <c r="E325" s="106" t="s">
        <v>321</v>
      </c>
      <c r="F325" s="108">
        <f t="shared" si="65"/>
        <v>324</v>
      </c>
      <c r="G325" s="105" t="s">
        <v>44</v>
      </c>
      <c r="H325" s="105"/>
      <c r="I325" s="104">
        <v>18</v>
      </c>
      <c r="J325" s="112" t="str">
        <f t="shared" ref="J325" si="72">J324</f>
        <v>1560 mm id</v>
      </c>
      <c r="K325" s="118">
        <v>1</v>
      </c>
      <c r="L325" s="118" t="s">
        <v>81</v>
      </c>
      <c r="M325" s="128">
        <f t="shared" si="71"/>
        <v>4.9015199999999997</v>
      </c>
      <c r="N325" s="104" t="s">
        <v>139</v>
      </c>
      <c r="O325" s="120">
        <v>1</v>
      </c>
      <c r="P325" s="104" t="s">
        <v>112</v>
      </c>
      <c r="Q325" s="150">
        <f t="shared" si="63"/>
        <v>4.9015199999999997</v>
      </c>
      <c r="R325" s="148">
        <v>1</v>
      </c>
      <c r="S325" s="150">
        <f t="shared" si="64"/>
        <v>5.9015199999999997</v>
      </c>
      <c r="T325" s="152" t="s">
        <v>48</v>
      </c>
    </row>
    <row r="326" spans="3:20" ht="20.25" customHeight="1">
      <c r="C326" s="96">
        <f>D326</f>
        <v>326</v>
      </c>
      <c r="D326" s="102">
        <f t="shared" si="70"/>
        <v>326</v>
      </c>
      <c r="E326" s="103" t="s">
        <v>322</v>
      </c>
      <c r="F326" s="108">
        <f>D323</f>
        <v>323</v>
      </c>
      <c r="G326" s="105"/>
      <c r="H326" s="105"/>
      <c r="I326" s="104"/>
      <c r="J326" s="104"/>
      <c r="K326" s="118"/>
      <c r="L326" s="118"/>
      <c r="M326" s="119"/>
      <c r="N326" s="104"/>
      <c r="O326" s="120"/>
      <c r="P326" s="104"/>
      <c r="Q326" s="150"/>
      <c r="R326" s="148"/>
      <c r="S326" s="150"/>
      <c r="T326" s="149"/>
    </row>
    <row r="327" spans="3:20" ht="20.25" customHeight="1">
      <c r="C327" s="96"/>
      <c r="D327" s="102">
        <f t="shared" si="70"/>
        <v>327</v>
      </c>
      <c r="E327" s="106" t="s">
        <v>323</v>
      </c>
      <c r="F327" s="108">
        <f t="shared" si="65"/>
        <v>326</v>
      </c>
      <c r="G327" s="105" t="s">
        <v>44</v>
      </c>
      <c r="H327" s="105"/>
      <c r="I327" s="104">
        <v>18</v>
      </c>
      <c r="J327" s="104" t="str">
        <f>J325</f>
        <v>1560 mm id</v>
      </c>
      <c r="K327" s="118">
        <v>1</v>
      </c>
      <c r="L327" s="118" t="s">
        <v>81</v>
      </c>
      <c r="M327" s="119">
        <v>1</v>
      </c>
      <c r="N327" s="132" t="s">
        <v>81</v>
      </c>
      <c r="O327" s="120">
        <v>1</v>
      </c>
      <c r="P327" s="104" t="s">
        <v>112</v>
      </c>
      <c r="Q327" s="150">
        <f t="shared" si="63"/>
        <v>1</v>
      </c>
      <c r="R327" s="148">
        <v>1</v>
      </c>
      <c r="S327" s="150">
        <f t="shared" si="64"/>
        <v>2</v>
      </c>
      <c r="T327" s="152" t="s">
        <v>48</v>
      </c>
    </row>
    <row r="328" spans="3:20" ht="20.25" customHeight="1">
      <c r="C328" s="96"/>
      <c r="D328" s="102">
        <f t="shared" si="70"/>
        <v>328</v>
      </c>
      <c r="E328" s="106" t="s">
        <v>324</v>
      </c>
      <c r="F328" s="108">
        <f t="shared" si="65"/>
        <v>327</v>
      </c>
      <c r="G328" s="105" t="s">
        <v>115</v>
      </c>
      <c r="H328" s="105"/>
      <c r="I328" s="108">
        <f>12</f>
        <v>12</v>
      </c>
      <c r="J328" s="104" t="str">
        <f>J327</f>
        <v>1560 mm id</v>
      </c>
      <c r="K328" s="118">
        <v>1</v>
      </c>
      <c r="L328" s="118" t="s">
        <v>81</v>
      </c>
      <c r="M328" s="128">
        <f t="shared" ref="M328:M331" si="73">LEFT(J328,SEARCH(" ",J328,1)-1)*3.142*K328*0.001</f>
        <v>4.9015199999999997</v>
      </c>
      <c r="N328" s="104" t="s">
        <v>139</v>
      </c>
      <c r="O328" s="162">
        <f>VLOOKUP(I328,BM!$B$3:$Y$62,17,FALSE)</f>
        <v>2.5</v>
      </c>
      <c r="P328" s="104" t="s">
        <v>112</v>
      </c>
      <c r="Q328" s="150">
        <f t="shared" si="63"/>
        <v>12.253799999999998</v>
      </c>
      <c r="R328" s="148">
        <v>1</v>
      </c>
      <c r="S328" s="150">
        <f t="shared" si="64"/>
        <v>13.253799999999998</v>
      </c>
      <c r="T328" s="152" t="s">
        <v>48</v>
      </c>
    </row>
    <row r="329" spans="3:20" ht="20.25" customHeight="1">
      <c r="C329" s="96"/>
      <c r="D329" s="102">
        <f t="shared" si="70"/>
        <v>329</v>
      </c>
      <c r="E329" s="106" t="s">
        <v>325</v>
      </c>
      <c r="F329" s="108">
        <f t="shared" si="65"/>
        <v>328</v>
      </c>
      <c r="G329" s="105" t="s">
        <v>61</v>
      </c>
      <c r="H329" s="105"/>
      <c r="I329" s="108">
        <f>18</f>
        <v>18</v>
      </c>
      <c r="J329" s="104" t="str">
        <f>J328</f>
        <v>1560 mm id</v>
      </c>
      <c r="K329" s="118">
        <v>1</v>
      </c>
      <c r="L329" s="118" t="s">
        <v>81</v>
      </c>
      <c r="M329" s="128">
        <f t="shared" si="73"/>
        <v>4.9015199999999997</v>
      </c>
      <c r="N329" s="104" t="s">
        <v>139</v>
      </c>
      <c r="O329" s="162">
        <f>VLOOKUP(I329,BM!$B$3:$Y$62,18,FALSE)</f>
        <v>1</v>
      </c>
      <c r="P329" s="104" t="s">
        <v>112</v>
      </c>
      <c r="Q329" s="150">
        <f t="shared" si="63"/>
        <v>4.9015199999999997</v>
      </c>
      <c r="R329" s="148">
        <v>1</v>
      </c>
      <c r="S329" s="150">
        <f t="shared" si="64"/>
        <v>5.9015199999999997</v>
      </c>
      <c r="T329" s="152" t="s">
        <v>48</v>
      </c>
    </row>
    <row r="330" spans="3:20" ht="20.25" customHeight="1">
      <c r="C330" s="96"/>
      <c r="D330" s="102">
        <f t="shared" si="70"/>
        <v>330</v>
      </c>
      <c r="E330" s="106" t="s">
        <v>326</v>
      </c>
      <c r="F330" s="108">
        <f t="shared" si="65"/>
        <v>329</v>
      </c>
      <c r="G330" s="105" t="s">
        <v>115</v>
      </c>
      <c r="H330" s="105"/>
      <c r="I330" s="104">
        <v>6</v>
      </c>
      <c r="J330" s="104" t="str">
        <f>J329</f>
        <v>1560 mm id</v>
      </c>
      <c r="K330" s="118">
        <v>1</v>
      </c>
      <c r="L330" s="118" t="s">
        <v>81</v>
      </c>
      <c r="M330" s="128">
        <f t="shared" si="73"/>
        <v>4.9015199999999997</v>
      </c>
      <c r="N330" s="104" t="s">
        <v>139</v>
      </c>
      <c r="O330" s="162">
        <f>VLOOKUP(I330,BM!$B$3:$Y$62,17,FALSE)</f>
        <v>0.9</v>
      </c>
      <c r="P330" s="104" t="s">
        <v>112</v>
      </c>
      <c r="Q330" s="150">
        <f t="shared" si="63"/>
        <v>4.4113679999999995</v>
      </c>
      <c r="R330" s="148">
        <v>1</v>
      </c>
      <c r="S330" s="150">
        <f t="shared" si="64"/>
        <v>5.4113679999999995</v>
      </c>
      <c r="T330" s="152" t="s">
        <v>48</v>
      </c>
    </row>
    <row r="331" spans="3:20" ht="20.25" customHeight="1">
      <c r="C331" s="96"/>
      <c r="D331" s="102">
        <f t="shared" si="70"/>
        <v>331</v>
      </c>
      <c r="E331" s="106" t="s">
        <v>327</v>
      </c>
      <c r="F331" s="108">
        <f t="shared" si="65"/>
        <v>330</v>
      </c>
      <c r="G331" s="105" t="s">
        <v>61</v>
      </c>
      <c r="H331" s="105"/>
      <c r="I331" s="104">
        <v>18</v>
      </c>
      <c r="J331" s="104" t="str">
        <f>J330</f>
        <v>1560 mm id</v>
      </c>
      <c r="K331" s="118">
        <v>1</v>
      </c>
      <c r="L331" s="118" t="s">
        <v>81</v>
      </c>
      <c r="M331" s="128">
        <f t="shared" si="73"/>
        <v>4.9015199999999997</v>
      </c>
      <c r="N331" s="104" t="s">
        <v>139</v>
      </c>
      <c r="O331" s="162">
        <f>VLOOKUP(I331,BM!$B$3:$Y$62,20,FALSE)</f>
        <v>0.5</v>
      </c>
      <c r="P331" s="104" t="s">
        <v>112</v>
      </c>
      <c r="Q331" s="150">
        <f t="shared" si="63"/>
        <v>2.4507599999999998</v>
      </c>
      <c r="R331" s="148">
        <v>1</v>
      </c>
      <c r="S331" s="150">
        <f t="shared" si="64"/>
        <v>3.4507599999999998</v>
      </c>
      <c r="T331" s="152" t="s">
        <v>48</v>
      </c>
    </row>
    <row r="332" spans="3:20" ht="20.25" customHeight="1">
      <c r="C332" s="96">
        <f>D332</f>
        <v>332</v>
      </c>
      <c r="D332" s="102">
        <f t="shared" si="70"/>
        <v>332</v>
      </c>
      <c r="E332" s="103" t="s">
        <v>328</v>
      </c>
      <c r="F332" s="108">
        <f>D326</f>
        <v>326</v>
      </c>
      <c r="G332" s="105"/>
      <c r="H332" s="105"/>
      <c r="I332" s="104"/>
      <c r="J332" s="104"/>
      <c r="K332" s="118"/>
      <c r="L332" s="118"/>
      <c r="M332" s="119"/>
      <c r="N332" s="104"/>
      <c r="O332" s="120"/>
      <c r="P332" s="104"/>
      <c r="Q332" s="150"/>
      <c r="R332" s="148"/>
      <c r="S332" s="150"/>
      <c r="T332" s="149"/>
    </row>
    <row r="333" spans="3:20" ht="20.25" customHeight="1">
      <c r="C333" s="96"/>
      <c r="D333" s="102">
        <f t="shared" si="70"/>
        <v>333</v>
      </c>
      <c r="E333" s="106" t="s">
        <v>329</v>
      </c>
      <c r="F333" s="108">
        <f t="shared" si="65"/>
        <v>332</v>
      </c>
      <c r="G333" s="105" t="s">
        <v>299</v>
      </c>
      <c r="H333" s="105"/>
      <c r="I333" s="104">
        <v>18</v>
      </c>
      <c r="J333" s="104" t="str">
        <f>J331</f>
        <v>1560 mm id</v>
      </c>
      <c r="K333" s="118">
        <v>1</v>
      </c>
      <c r="L333" s="118" t="s">
        <v>81</v>
      </c>
      <c r="M333" s="128">
        <f t="shared" ref="M333:M334" si="74">LEFT(J333,SEARCH(" ",J333,1)-1)*3.142*K333*0.001</f>
        <v>4.9015199999999997</v>
      </c>
      <c r="N333" s="104" t="s">
        <v>139</v>
      </c>
      <c r="O333" s="162">
        <f>VLOOKUP(I333,BM!$B$3:$Y$62,10,FALSE)</f>
        <v>1</v>
      </c>
      <c r="P333" s="104" t="s">
        <v>112</v>
      </c>
      <c r="Q333" s="150">
        <f t="shared" si="63"/>
        <v>4.9015199999999997</v>
      </c>
      <c r="R333" s="148">
        <v>1</v>
      </c>
      <c r="S333" s="150">
        <f t="shared" si="64"/>
        <v>5.9015199999999997</v>
      </c>
      <c r="T333" s="152" t="s">
        <v>48</v>
      </c>
    </row>
    <row r="334" spans="3:20" ht="20.25" customHeight="1">
      <c r="C334" s="96"/>
      <c r="D334" s="102">
        <f t="shared" si="70"/>
        <v>334</v>
      </c>
      <c r="E334" s="106" t="s">
        <v>330</v>
      </c>
      <c r="F334" s="108">
        <f t="shared" si="65"/>
        <v>333</v>
      </c>
      <c r="G334" s="105" t="s">
        <v>44</v>
      </c>
      <c r="H334" s="105"/>
      <c r="I334" s="104">
        <v>18</v>
      </c>
      <c r="J334" s="104" t="str">
        <f>J331</f>
        <v>1560 mm id</v>
      </c>
      <c r="K334" s="118">
        <v>1</v>
      </c>
      <c r="L334" s="118" t="s">
        <v>81</v>
      </c>
      <c r="M334" s="128">
        <f t="shared" si="74"/>
        <v>4.9015199999999997</v>
      </c>
      <c r="N334" s="104" t="s">
        <v>139</v>
      </c>
      <c r="O334" s="120">
        <v>1</v>
      </c>
      <c r="P334" s="104" t="s">
        <v>112</v>
      </c>
      <c r="Q334" s="150">
        <f t="shared" si="63"/>
        <v>4.9015199999999997</v>
      </c>
      <c r="R334" s="148">
        <v>1</v>
      </c>
      <c r="S334" s="150">
        <f t="shared" si="64"/>
        <v>5.9015199999999997</v>
      </c>
      <c r="T334" s="152" t="s">
        <v>48</v>
      </c>
    </row>
    <row r="335" spans="3:20" ht="20.25" customHeight="1">
      <c r="C335" s="96">
        <f>D335</f>
        <v>335</v>
      </c>
      <c r="D335" s="102">
        <f t="shared" si="70"/>
        <v>335</v>
      </c>
      <c r="E335" s="103" t="s">
        <v>331</v>
      </c>
      <c r="F335" s="108">
        <f>D332</f>
        <v>332</v>
      </c>
      <c r="G335" s="105"/>
      <c r="H335" s="105"/>
      <c r="I335" s="104"/>
      <c r="J335" s="104"/>
      <c r="K335" s="118"/>
      <c r="L335" s="118"/>
      <c r="M335" s="119"/>
      <c r="N335" s="104"/>
      <c r="O335" s="120"/>
      <c r="P335" s="104"/>
      <c r="Q335" s="150">
        <f t="shared" si="63"/>
        <v>0</v>
      </c>
      <c r="R335" s="148"/>
      <c r="S335" s="150">
        <f t="shared" si="64"/>
        <v>0</v>
      </c>
      <c r="T335" s="149"/>
    </row>
    <row r="336" spans="3:20" ht="20.25" customHeight="1">
      <c r="C336" s="96"/>
      <c r="D336" s="102">
        <f t="shared" si="70"/>
        <v>336</v>
      </c>
      <c r="E336" s="106" t="s">
        <v>332</v>
      </c>
      <c r="F336" s="108">
        <f t="shared" si="65"/>
        <v>335</v>
      </c>
      <c r="G336" s="105" t="s">
        <v>44</v>
      </c>
      <c r="H336" s="105"/>
      <c r="I336" s="104">
        <v>18</v>
      </c>
      <c r="J336" s="104" t="str">
        <f>J331</f>
        <v>1560 mm id</v>
      </c>
      <c r="K336" s="118">
        <v>1</v>
      </c>
      <c r="L336" s="118" t="s">
        <v>81</v>
      </c>
      <c r="M336" s="119">
        <v>1</v>
      </c>
      <c r="N336" s="104" t="s">
        <v>139</v>
      </c>
      <c r="O336" s="120">
        <v>1</v>
      </c>
      <c r="P336" s="104" t="s">
        <v>112</v>
      </c>
      <c r="Q336" s="150">
        <f t="shared" si="63"/>
        <v>1</v>
      </c>
      <c r="R336" s="148">
        <v>1</v>
      </c>
      <c r="S336" s="150">
        <f t="shared" si="64"/>
        <v>2</v>
      </c>
      <c r="T336" s="152" t="s">
        <v>48</v>
      </c>
    </row>
    <row r="337" spans="3:20" ht="20.25" customHeight="1">
      <c r="C337" s="96"/>
      <c r="D337" s="102">
        <f t="shared" si="70"/>
        <v>337</v>
      </c>
      <c r="E337" s="106" t="s">
        <v>333</v>
      </c>
      <c r="F337" s="108">
        <f t="shared" si="65"/>
        <v>336</v>
      </c>
      <c r="G337" s="105" t="s">
        <v>115</v>
      </c>
      <c r="H337" s="105"/>
      <c r="I337" s="108">
        <f>12</f>
        <v>12</v>
      </c>
      <c r="J337" s="104" t="str">
        <f>J334</f>
        <v>1560 mm id</v>
      </c>
      <c r="K337" s="118">
        <v>1</v>
      </c>
      <c r="L337" s="118" t="s">
        <v>81</v>
      </c>
      <c r="M337" s="128">
        <f t="shared" ref="M337:M340" si="75">LEFT(J337,SEARCH(" ",J337,1)-1)*3.142*K337*0.001</f>
        <v>4.9015199999999997</v>
      </c>
      <c r="N337" s="104" t="s">
        <v>139</v>
      </c>
      <c r="O337" s="162">
        <f>VLOOKUP(I337,BM!$B$3:$Y$62,17,FALSE)</f>
        <v>2.5</v>
      </c>
      <c r="P337" s="104" t="s">
        <v>112</v>
      </c>
      <c r="Q337" s="150">
        <f t="shared" si="63"/>
        <v>12.253799999999998</v>
      </c>
      <c r="R337" s="148">
        <v>1</v>
      </c>
      <c r="S337" s="150">
        <f t="shared" si="64"/>
        <v>13.253799999999998</v>
      </c>
      <c r="T337" s="152" t="s">
        <v>48</v>
      </c>
    </row>
    <row r="338" spans="3:20" ht="20.25" customHeight="1">
      <c r="C338" s="96"/>
      <c r="D338" s="102">
        <f t="shared" si="70"/>
        <v>338</v>
      </c>
      <c r="E338" s="106" t="s">
        <v>334</v>
      </c>
      <c r="F338" s="108">
        <f t="shared" si="65"/>
        <v>337</v>
      </c>
      <c r="G338" s="105" t="s">
        <v>61</v>
      </c>
      <c r="H338" s="105"/>
      <c r="I338" s="108">
        <f>18</f>
        <v>18</v>
      </c>
      <c r="J338" s="104" t="str">
        <f>J337</f>
        <v>1560 mm id</v>
      </c>
      <c r="K338" s="118">
        <v>1</v>
      </c>
      <c r="L338" s="118" t="s">
        <v>81</v>
      </c>
      <c r="M338" s="128">
        <f t="shared" si="75"/>
        <v>4.9015199999999997</v>
      </c>
      <c r="N338" s="104" t="s">
        <v>139</v>
      </c>
      <c r="O338" s="162">
        <f>VLOOKUP(I338,BM!$B$3:$Y$62,18,FALSE)</f>
        <v>1</v>
      </c>
      <c r="P338" s="104" t="s">
        <v>112</v>
      </c>
      <c r="Q338" s="150">
        <f t="shared" si="63"/>
        <v>4.9015199999999997</v>
      </c>
      <c r="R338" s="148">
        <v>1</v>
      </c>
      <c r="S338" s="150">
        <f t="shared" si="64"/>
        <v>5.9015199999999997</v>
      </c>
      <c r="T338" s="152" t="s">
        <v>48</v>
      </c>
    </row>
    <row r="339" spans="3:20" ht="20.25" customHeight="1">
      <c r="C339" s="96"/>
      <c r="D339" s="102">
        <f t="shared" si="70"/>
        <v>339</v>
      </c>
      <c r="E339" s="106" t="s">
        <v>335</v>
      </c>
      <c r="F339" s="108">
        <f t="shared" si="65"/>
        <v>338</v>
      </c>
      <c r="G339" s="105" t="s">
        <v>115</v>
      </c>
      <c r="H339" s="105"/>
      <c r="I339" s="104">
        <v>6</v>
      </c>
      <c r="J339" s="104" t="str">
        <f>J338</f>
        <v>1560 mm id</v>
      </c>
      <c r="K339" s="118">
        <v>1</v>
      </c>
      <c r="L339" s="118" t="s">
        <v>81</v>
      </c>
      <c r="M339" s="128">
        <f t="shared" si="75"/>
        <v>4.9015199999999997</v>
      </c>
      <c r="N339" s="104" t="s">
        <v>139</v>
      </c>
      <c r="O339" s="162">
        <f>VLOOKUP(I339,BM!$B$3:$Y$62,17,FALSE)</f>
        <v>0.9</v>
      </c>
      <c r="P339" s="104" t="s">
        <v>112</v>
      </c>
      <c r="Q339" s="150">
        <f t="shared" si="63"/>
        <v>4.4113679999999995</v>
      </c>
      <c r="R339" s="148">
        <v>1</v>
      </c>
      <c r="S339" s="150">
        <f t="shared" si="64"/>
        <v>5.4113679999999995</v>
      </c>
      <c r="T339" s="152" t="s">
        <v>48</v>
      </c>
    </row>
    <row r="340" spans="3:20" ht="20.25" customHeight="1">
      <c r="C340" s="96"/>
      <c r="D340" s="102">
        <f t="shared" si="70"/>
        <v>340</v>
      </c>
      <c r="E340" s="106" t="s">
        <v>336</v>
      </c>
      <c r="F340" s="108">
        <f t="shared" si="65"/>
        <v>339</v>
      </c>
      <c r="G340" s="105" t="s">
        <v>61</v>
      </c>
      <c r="H340" s="105"/>
      <c r="I340" s="104">
        <v>18</v>
      </c>
      <c r="J340" s="104" t="str">
        <f>J339</f>
        <v>1560 mm id</v>
      </c>
      <c r="K340" s="118">
        <v>1</v>
      </c>
      <c r="L340" s="118" t="s">
        <v>81</v>
      </c>
      <c r="M340" s="128">
        <f t="shared" si="75"/>
        <v>4.9015199999999997</v>
      </c>
      <c r="N340" s="104" t="s">
        <v>139</v>
      </c>
      <c r="O340" s="162">
        <f>VLOOKUP(I340,BM!$B$3:$Y$62,20,FALSE)</f>
        <v>0.5</v>
      </c>
      <c r="P340" s="104" t="s">
        <v>112</v>
      </c>
      <c r="Q340" s="150">
        <f t="shared" si="63"/>
        <v>2.4507599999999998</v>
      </c>
      <c r="R340" s="148">
        <v>1</v>
      </c>
      <c r="S340" s="150">
        <f t="shared" si="64"/>
        <v>3.4507599999999998</v>
      </c>
      <c r="T340" s="152" t="s">
        <v>48</v>
      </c>
    </row>
    <row r="341" spans="3:20" ht="20.25" customHeight="1">
      <c r="C341" s="96">
        <f>D341</f>
        <v>341</v>
      </c>
      <c r="D341" s="102">
        <f t="shared" si="70"/>
        <v>341</v>
      </c>
      <c r="E341" s="103" t="s">
        <v>337</v>
      </c>
      <c r="F341" s="108">
        <f>D335</f>
        <v>335</v>
      </c>
      <c r="G341" s="105"/>
      <c r="H341" s="105"/>
      <c r="I341" s="104"/>
      <c r="J341" s="104"/>
      <c r="K341" s="118"/>
      <c r="L341" s="118"/>
      <c r="M341" s="119"/>
      <c r="N341" s="104"/>
      <c r="O341" s="120"/>
      <c r="P341" s="104"/>
      <c r="Q341" s="150"/>
      <c r="R341" s="148"/>
      <c r="S341" s="150"/>
      <c r="T341" s="149"/>
    </row>
    <row r="342" spans="3:20" ht="20.25" customHeight="1">
      <c r="C342" s="96"/>
      <c r="D342" s="102">
        <f t="shared" si="70"/>
        <v>342</v>
      </c>
      <c r="E342" s="106" t="s">
        <v>338</v>
      </c>
      <c r="F342" s="108">
        <f t="shared" si="65"/>
        <v>341</v>
      </c>
      <c r="G342" s="105" t="s">
        <v>299</v>
      </c>
      <c r="H342" s="105"/>
      <c r="I342" s="104">
        <v>18</v>
      </c>
      <c r="J342" s="104" t="str">
        <f>J340</f>
        <v>1560 mm id</v>
      </c>
      <c r="K342" s="118">
        <v>1</v>
      </c>
      <c r="L342" s="118" t="s">
        <v>81</v>
      </c>
      <c r="M342" s="128">
        <f t="shared" ref="M342:M343" si="76">LEFT(J342,SEARCH(" ",J342,1)-1)*3.142*K342*0.001</f>
        <v>4.9015199999999997</v>
      </c>
      <c r="N342" s="104" t="s">
        <v>139</v>
      </c>
      <c r="O342" s="162">
        <f>VLOOKUP(I342,BM!$B$3:$Y$62,10,FALSE)</f>
        <v>1</v>
      </c>
      <c r="P342" s="104" t="s">
        <v>112</v>
      </c>
      <c r="Q342" s="150">
        <f t="shared" si="63"/>
        <v>4.9015199999999997</v>
      </c>
      <c r="R342" s="148">
        <v>1</v>
      </c>
      <c r="S342" s="150">
        <f t="shared" si="64"/>
        <v>5.9015199999999997</v>
      </c>
      <c r="T342" s="152" t="s">
        <v>48</v>
      </c>
    </row>
    <row r="343" spans="3:20" ht="20.25" customHeight="1">
      <c r="C343" s="96"/>
      <c r="D343" s="102">
        <f t="shared" si="70"/>
        <v>343</v>
      </c>
      <c r="E343" s="106" t="s">
        <v>339</v>
      </c>
      <c r="F343" s="108">
        <f t="shared" si="65"/>
        <v>342</v>
      </c>
      <c r="G343" s="105" t="s">
        <v>44</v>
      </c>
      <c r="H343" s="105"/>
      <c r="I343" s="104">
        <v>18</v>
      </c>
      <c r="J343" s="104" t="str">
        <f>J340</f>
        <v>1560 mm id</v>
      </c>
      <c r="K343" s="118">
        <v>1</v>
      </c>
      <c r="L343" s="118" t="s">
        <v>81</v>
      </c>
      <c r="M343" s="128">
        <f t="shared" si="76"/>
        <v>4.9015199999999997</v>
      </c>
      <c r="N343" s="104" t="s">
        <v>139</v>
      </c>
      <c r="O343" s="120">
        <v>1</v>
      </c>
      <c r="P343" s="104" t="s">
        <v>112</v>
      </c>
      <c r="Q343" s="150">
        <f t="shared" si="63"/>
        <v>4.9015199999999997</v>
      </c>
      <c r="R343" s="148">
        <v>1</v>
      </c>
      <c r="S343" s="150">
        <f t="shared" si="64"/>
        <v>5.9015199999999997</v>
      </c>
      <c r="T343" s="166" t="s">
        <v>48</v>
      </c>
    </row>
    <row r="344" spans="3:20" ht="20.25" customHeight="1">
      <c r="C344" s="96">
        <f>D344</f>
        <v>344</v>
      </c>
      <c r="D344" s="102">
        <f t="shared" si="70"/>
        <v>344</v>
      </c>
      <c r="E344" s="103" t="s">
        <v>340</v>
      </c>
      <c r="F344" s="108">
        <f>D341</f>
        <v>341</v>
      </c>
      <c r="G344" s="105"/>
      <c r="H344" s="105"/>
      <c r="I344" s="104"/>
      <c r="J344" s="104"/>
      <c r="K344" s="118"/>
      <c r="L344" s="118"/>
      <c r="M344" s="119"/>
      <c r="N344" s="104"/>
      <c r="O344" s="120"/>
      <c r="P344" s="104"/>
      <c r="Q344" s="150"/>
      <c r="R344" s="148"/>
      <c r="S344" s="150"/>
      <c r="T344" s="149"/>
    </row>
    <row r="345" spans="3:20" ht="20.25" customHeight="1">
      <c r="C345" s="96"/>
      <c r="D345" s="102">
        <f t="shared" si="70"/>
        <v>345</v>
      </c>
      <c r="E345" s="106" t="s">
        <v>341</v>
      </c>
      <c r="F345" s="108">
        <f t="shared" si="65"/>
        <v>344</v>
      </c>
      <c r="G345" s="105" t="s">
        <v>44</v>
      </c>
      <c r="H345" s="105"/>
      <c r="I345" s="104">
        <v>18</v>
      </c>
      <c r="J345" s="104" t="str">
        <f>J343</f>
        <v>1560 mm id</v>
      </c>
      <c r="K345" s="118">
        <v>1</v>
      </c>
      <c r="L345" s="118" t="s">
        <v>81</v>
      </c>
      <c r="M345" s="119">
        <v>1</v>
      </c>
      <c r="N345" s="104" t="s">
        <v>139</v>
      </c>
      <c r="O345" s="120">
        <v>1</v>
      </c>
      <c r="P345" s="104" t="s">
        <v>112</v>
      </c>
      <c r="Q345" s="150">
        <f t="shared" si="63"/>
        <v>1</v>
      </c>
      <c r="R345" s="148">
        <v>1</v>
      </c>
      <c r="S345" s="150">
        <f t="shared" si="64"/>
        <v>2</v>
      </c>
      <c r="T345" s="166" t="s">
        <v>48</v>
      </c>
    </row>
    <row r="346" spans="3:20" ht="20.25" customHeight="1">
      <c r="C346" s="96"/>
      <c r="D346" s="102">
        <f t="shared" si="70"/>
        <v>346</v>
      </c>
      <c r="E346" s="106" t="s">
        <v>342</v>
      </c>
      <c r="F346" s="108">
        <f t="shared" si="65"/>
        <v>345</v>
      </c>
      <c r="G346" s="105" t="s">
        <v>115</v>
      </c>
      <c r="H346" s="105"/>
      <c r="I346" s="108">
        <f>12</f>
        <v>12</v>
      </c>
      <c r="J346" s="104" t="str">
        <f>J345</f>
        <v>1560 mm id</v>
      </c>
      <c r="K346" s="118">
        <v>1</v>
      </c>
      <c r="L346" s="118" t="s">
        <v>81</v>
      </c>
      <c r="M346" s="128">
        <f t="shared" ref="M346:M349" si="77">LEFT(J346,SEARCH(" ",J346,1)-1)*3.142*K346*0.001</f>
        <v>4.9015199999999997</v>
      </c>
      <c r="N346" s="104" t="s">
        <v>139</v>
      </c>
      <c r="O346" s="162">
        <f>VLOOKUP(I346,BM!$B$3:$Y$62,17,FALSE)</f>
        <v>2.5</v>
      </c>
      <c r="P346" s="104" t="s">
        <v>112</v>
      </c>
      <c r="Q346" s="150">
        <f t="shared" si="63"/>
        <v>12.253799999999998</v>
      </c>
      <c r="R346" s="148">
        <v>1</v>
      </c>
      <c r="S346" s="150">
        <f t="shared" si="64"/>
        <v>13.253799999999998</v>
      </c>
      <c r="T346" s="166" t="s">
        <v>48</v>
      </c>
    </row>
    <row r="347" spans="3:20" ht="20.25" customHeight="1">
      <c r="C347" s="96"/>
      <c r="D347" s="102">
        <f t="shared" si="70"/>
        <v>347</v>
      </c>
      <c r="E347" s="106" t="s">
        <v>343</v>
      </c>
      <c r="F347" s="108">
        <f t="shared" si="65"/>
        <v>346</v>
      </c>
      <c r="G347" s="105" t="s">
        <v>61</v>
      </c>
      <c r="H347" s="105"/>
      <c r="I347" s="108">
        <f>18</f>
        <v>18</v>
      </c>
      <c r="J347" s="104" t="str">
        <f>J346</f>
        <v>1560 mm id</v>
      </c>
      <c r="K347" s="118">
        <v>1</v>
      </c>
      <c r="L347" s="118" t="s">
        <v>81</v>
      </c>
      <c r="M347" s="128">
        <f t="shared" si="77"/>
        <v>4.9015199999999997</v>
      </c>
      <c r="N347" s="104" t="s">
        <v>139</v>
      </c>
      <c r="O347" s="162">
        <f>VLOOKUP(I347,BM!$B$3:$Y$62,18,FALSE)</f>
        <v>1</v>
      </c>
      <c r="P347" s="104" t="s">
        <v>112</v>
      </c>
      <c r="Q347" s="150">
        <f t="shared" si="63"/>
        <v>4.9015199999999997</v>
      </c>
      <c r="R347" s="148">
        <v>1</v>
      </c>
      <c r="S347" s="150">
        <f t="shared" si="64"/>
        <v>5.9015199999999997</v>
      </c>
      <c r="T347" s="166" t="s">
        <v>48</v>
      </c>
    </row>
    <row r="348" spans="3:20" ht="20.25" customHeight="1">
      <c r="C348" s="96"/>
      <c r="D348" s="102">
        <f t="shared" si="70"/>
        <v>348</v>
      </c>
      <c r="E348" s="106" t="s">
        <v>344</v>
      </c>
      <c r="F348" s="108">
        <f t="shared" si="65"/>
        <v>347</v>
      </c>
      <c r="G348" s="105" t="s">
        <v>115</v>
      </c>
      <c r="H348" s="105"/>
      <c r="I348" s="104">
        <v>6</v>
      </c>
      <c r="J348" s="104" t="str">
        <f>J347</f>
        <v>1560 mm id</v>
      </c>
      <c r="K348" s="118">
        <v>1</v>
      </c>
      <c r="L348" s="118" t="s">
        <v>81</v>
      </c>
      <c r="M348" s="128">
        <f t="shared" si="77"/>
        <v>4.9015199999999997</v>
      </c>
      <c r="N348" s="104" t="s">
        <v>139</v>
      </c>
      <c r="O348" s="162">
        <f>VLOOKUP(I348,BM!$B$3:$Y$62,17,FALSE)</f>
        <v>0.9</v>
      </c>
      <c r="P348" s="104" t="s">
        <v>112</v>
      </c>
      <c r="Q348" s="150">
        <f t="shared" ref="Q348:Q411" si="78">M348*O348</f>
        <v>4.4113679999999995</v>
      </c>
      <c r="R348" s="148">
        <v>1</v>
      </c>
      <c r="S348" s="150">
        <f t="shared" ref="S348:S411" si="79">Q348+R348</f>
        <v>5.4113679999999995</v>
      </c>
      <c r="T348" s="166" t="s">
        <v>48</v>
      </c>
    </row>
    <row r="349" spans="3:20" ht="20.25" customHeight="1">
      <c r="C349" s="96"/>
      <c r="D349" s="102">
        <f t="shared" si="70"/>
        <v>349</v>
      </c>
      <c r="E349" s="106" t="s">
        <v>345</v>
      </c>
      <c r="F349" s="108">
        <f t="shared" ref="F349:F411" si="80">D348</f>
        <v>348</v>
      </c>
      <c r="G349" s="105" t="s">
        <v>61</v>
      </c>
      <c r="H349" s="105"/>
      <c r="I349" s="104">
        <v>18</v>
      </c>
      <c r="J349" s="104" t="str">
        <f>J348</f>
        <v>1560 mm id</v>
      </c>
      <c r="K349" s="118">
        <v>1</v>
      </c>
      <c r="L349" s="118" t="s">
        <v>81</v>
      </c>
      <c r="M349" s="128">
        <f t="shared" si="77"/>
        <v>4.9015199999999997</v>
      </c>
      <c r="N349" s="104" t="s">
        <v>139</v>
      </c>
      <c r="O349" s="162">
        <f>VLOOKUP(I349,BM!$B$3:$Y$62,20,FALSE)</f>
        <v>0.5</v>
      </c>
      <c r="P349" s="104" t="s">
        <v>112</v>
      </c>
      <c r="Q349" s="150">
        <f t="shared" si="78"/>
        <v>2.4507599999999998</v>
      </c>
      <c r="R349" s="148">
        <v>1</v>
      </c>
      <c r="S349" s="150">
        <f t="shared" si="79"/>
        <v>3.4507599999999998</v>
      </c>
      <c r="T349" s="166" t="s">
        <v>48</v>
      </c>
    </row>
    <row r="350" spans="3:20" ht="20.25" customHeight="1">
      <c r="C350" s="96">
        <f>D350</f>
        <v>350</v>
      </c>
      <c r="D350" s="102">
        <f t="shared" si="70"/>
        <v>350</v>
      </c>
      <c r="E350" s="103" t="s">
        <v>346</v>
      </c>
      <c r="F350" s="108">
        <f>D344</f>
        <v>344</v>
      </c>
      <c r="G350" s="105"/>
      <c r="H350" s="105"/>
      <c r="I350" s="104"/>
      <c r="J350" s="104"/>
      <c r="K350" s="118"/>
      <c r="L350" s="118"/>
      <c r="M350" s="119"/>
      <c r="N350" s="104"/>
      <c r="O350" s="120"/>
      <c r="P350" s="104"/>
      <c r="Q350" s="150"/>
      <c r="R350" s="148"/>
      <c r="S350" s="150"/>
      <c r="T350" s="149"/>
    </row>
    <row r="351" spans="3:20" ht="20.25" customHeight="1">
      <c r="C351" s="96"/>
      <c r="D351" s="102">
        <f t="shared" si="70"/>
        <v>351</v>
      </c>
      <c r="E351" s="106" t="s">
        <v>347</v>
      </c>
      <c r="F351" s="108">
        <f t="shared" si="80"/>
        <v>350</v>
      </c>
      <c r="G351" s="105" t="s">
        <v>348</v>
      </c>
      <c r="H351" s="105"/>
      <c r="I351" s="104">
        <v>18</v>
      </c>
      <c r="J351" s="104" t="str">
        <f>J349</f>
        <v>1560 mm id</v>
      </c>
      <c r="K351" s="118">
        <v>1</v>
      </c>
      <c r="L351" s="141" t="s">
        <v>39</v>
      </c>
      <c r="M351" s="119">
        <v>1</v>
      </c>
      <c r="N351" s="104" t="s">
        <v>39</v>
      </c>
      <c r="O351" s="120">
        <v>4</v>
      </c>
      <c r="P351" s="104" t="s">
        <v>112</v>
      </c>
      <c r="Q351" s="150">
        <f t="shared" si="78"/>
        <v>4</v>
      </c>
      <c r="R351" s="148">
        <v>1</v>
      </c>
      <c r="S351" s="150">
        <f t="shared" si="79"/>
        <v>5</v>
      </c>
      <c r="T351" s="166" t="s">
        <v>48</v>
      </c>
    </row>
    <row r="352" spans="3:20" ht="20.25" customHeight="1">
      <c r="C352" s="96"/>
      <c r="D352" s="102">
        <f t="shared" si="70"/>
        <v>352</v>
      </c>
      <c r="E352" s="106" t="s">
        <v>349</v>
      </c>
      <c r="F352" s="108">
        <f t="shared" si="80"/>
        <v>351</v>
      </c>
      <c r="G352" s="105" t="s">
        <v>52</v>
      </c>
      <c r="H352" s="105"/>
      <c r="I352" s="104">
        <v>18</v>
      </c>
      <c r="J352" s="104" t="str">
        <f>J351</f>
        <v>1560 mm id</v>
      </c>
      <c r="K352" s="118">
        <v>1</v>
      </c>
      <c r="L352" s="141" t="s">
        <v>39</v>
      </c>
      <c r="M352" s="128">
        <f t="shared" ref="M352:M356" si="81">LEFT(J352,SEARCH(" ",J352,1)-1)*3.142*K352*0.001</f>
        <v>4.9015199999999997</v>
      </c>
      <c r="N352" s="104" t="s">
        <v>139</v>
      </c>
      <c r="O352" s="162">
        <f>VLOOKUP(I352,BM!$B$3:$Y$62,5,FALSE)</f>
        <v>0.5</v>
      </c>
      <c r="P352" s="104" t="s">
        <v>112</v>
      </c>
      <c r="Q352" s="150">
        <f t="shared" si="78"/>
        <v>2.4507599999999998</v>
      </c>
      <c r="R352" s="148">
        <v>1</v>
      </c>
      <c r="S352" s="150">
        <f t="shared" si="79"/>
        <v>3.4507599999999998</v>
      </c>
      <c r="T352" s="166" t="s">
        <v>48</v>
      </c>
    </row>
    <row r="353" spans="3:20" ht="20.25" customHeight="1">
      <c r="C353" s="96"/>
      <c r="D353" s="102">
        <f t="shared" si="70"/>
        <v>353</v>
      </c>
      <c r="E353" s="106" t="s">
        <v>350</v>
      </c>
      <c r="F353" s="108">
        <f t="shared" si="80"/>
        <v>352</v>
      </c>
      <c r="G353" s="105" t="s">
        <v>121</v>
      </c>
      <c r="H353" s="105"/>
      <c r="I353" s="104">
        <v>18</v>
      </c>
      <c r="J353" s="104" t="str">
        <f>J352</f>
        <v>1560 mm id</v>
      </c>
      <c r="K353" s="118">
        <v>1</v>
      </c>
      <c r="L353" s="141" t="s">
        <v>39</v>
      </c>
      <c r="M353" s="128">
        <f t="shared" si="81"/>
        <v>4.9015199999999997</v>
      </c>
      <c r="N353" s="104" t="s">
        <v>139</v>
      </c>
      <c r="O353" s="162">
        <f>VLOOKUP(I353,BM!$B$3:$Y$62,5,FALSE)</f>
        <v>0.5</v>
      </c>
      <c r="P353" s="104" t="s">
        <v>112</v>
      </c>
      <c r="Q353" s="150">
        <f t="shared" si="78"/>
        <v>2.4507599999999998</v>
      </c>
      <c r="R353" s="148">
        <v>1</v>
      </c>
      <c r="S353" s="150">
        <f t="shared" si="79"/>
        <v>3.4507599999999998</v>
      </c>
      <c r="T353" s="166" t="s">
        <v>48</v>
      </c>
    </row>
    <row r="354" spans="3:20" ht="20.25" customHeight="1">
      <c r="C354" s="96">
        <f>D354</f>
        <v>354</v>
      </c>
      <c r="D354" s="102">
        <f t="shared" si="70"/>
        <v>354</v>
      </c>
      <c r="E354" s="103" t="s">
        <v>351</v>
      </c>
      <c r="F354" s="108">
        <f>D350</f>
        <v>350</v>
      </c>
      <c r="G354" s="105"/>
      <c r="H354" s="105"/>
      <c r="I354" s="104"/>
      <c r="J354" s="104"/>
      <c r="K354" s="118"/>
      <c r="L354" s="118"/>
      <c r="M354" s="119"/>
      <c r="N354" s="104"/>
      <c r="O354" s="120"/>
      <c r="P354" s="104"/>
      <c r="Q354" s="150"/>
      <c r="R354" s="148"/>
      <c r="S354" s="150"/>
      <c r="T354" s="149"/>
    </row>
    <row r="355" spans="3:20" ht="20.25" customHeight="1">
      <c r="C355" s="96"/>
      <c r="D355" s="102">
        <f t="shared" si="70"/>
        <v>355</v>
      </c>
      <c r="E355" s="106" t="s">
        <v>352</v>
      </c>
      <c r="F355" s="108">
        <f t="shared" si="80"/>
        <v>354</v>
      </c>
      <c r="G355" s="105" t="s">
        <v>299</v>
      </c>
      <c r="H355" s="105"/>
      <c r="I355" s="104">
        <v>18</v>
      </c>
      <c r="J355" s="104" t="str">
        <f>J353</f>
        <v>1560 mm id</v>
      </c>
      <c r="K355" s="118">
        <v>1</v>
      </c>
      <c r="L355" s="118" t="s">
        <v>81</v>
      </c>
      <c r="M355" s="128">
        <f t="shared" si="81"/>
        <v>4.9015199999999997</v>
      </c>
      <c r="N355" s="104" t="s">
        <v>139</v>
      </c>
      <c r="O355" s="162">
        <f>VLOOKUP(I355,BM!$B$3:$Y$62,10,FALSE)</f>
        <v>1</v>
      </c>
      <c r="P355" s="104" t="s">
        <v>112</v>
      </c>
      <c r="Q355" s="150">
        <f t="shared" si="78"/>
        <v>4.9015199999999997</v>
      </c>
      <c r="R355" s="148">
        <v>1</v>
      </c>
      <c r="S355" s="150">
        <f t="shared" si="79"/>
        <v>5.9015199999999997</v>
      </c>
      <c r="T355" s="166" t="s">
        <v>48</v>
      </c>
    </row>
    <row r="356" spans="3:20" ht="20.25" customHeight="1">
      <c r="C356" s="96"/>
      <c r="D356" s="102">
        <f t="shared" si="70"/>
        <v>356</v>
      </c>
      <c r="E356" s="106" t="s">
        <v>353</v>
      </c>
      <c r="F356" s="108">
        <f t="shared" si="80"/>
        <v>355</v>
      </c>
      <c r="G356" s="105" t="s">
        <v>44</v>
      </c>
      <c r="H356" s="105"/>
      <c r="I356" s="104">
        <v>18</v>
      </c>
      <c r="J356" s="104" t="str">
        <f>J353</f>
        <v>1560 mm id</v>
      </c>
      <c r="K356" s="118">
        <v>1</v>
      </c>
      <c r="L356" s="118" t="s">
        <v>81</v>
      </c>
      <c r="M356" s="128">
        <f t="shared" si="81"/>
        <v>4.9015199999999997</v>
      </c>
      <c r="N356" s="104" t="s">
        <v>139</v>
      </c>
      <c r="O356" s="120">
        <v>1</v>
      </c>
      <c r="P356" s="104" t="s">
        <v>112</v>
      </c>
      <c r="Q356" s="150">
        <f t="shared" si="78"/>
        <v>4.9015199999999997</v>
      </c>
      <c r="R356" s="148">
        <v>1</v>
      </c>
      <c r="S356" s="150">
        <f t="shared" si="79"/>
        <v>5.9015199999999997</v>
      </c>
      <c r="T356" s="166" t="s">
        <v>48</v>
      </c>
    </row>
    <row r="357" spans="3:20" ht="20.25" customHeight="1">
      <c r="C357" s="96">
        <f>D357</f>
        <v>357</v>
      </c>
      <c r="D357" s="102">
        <f t="shared" si="70"/>
        <v>357</v>
      </c>
      <c r="E357" s="103" t="s">
        <v>354</v>
      </c>
      <c r="F357" s="108">
        <f>D354</f>
        <v>354</v>
      </c>
      <c r="G357" s="105"/>
      <c r="H357" s="105"/>
      <c r="I357" s="104"/>
      <c r="J357" s="104"/>
      <c r="K357" s="118"/>
      <c r="L357" s="118"/>
      <c r="M357" s="119"/>
      <c r="N357" s="104"/>
      <c r="O357" s="120"/>
      <c r="P357" s="104"/>
      <c r="Q357" s="150"/>
      <c r="R357" s="148"/>
      <c r="S357" s="150"/>
      <c r="T357" s="149"/>
    </row>
    <row r="358" spans="3:20" ht="20.25" customHeight="1">
      <c r="C358" s="96"/>
      <c r="D358" s="102">
        <f t="shared" si="70"/>
        <v>358</v>
      </c>
      <c r="E358" s="106" t="s">
        <v>323</v>
      </c>
      <c r="F358" s="108">
        <f t="shared" si="80"/>
        <v>357</v>
      </c>
      <c r="G358" s="105" t="s">
        <v>44</v>
      </c>
      <c r="H358" s="105"/>
      <c r="I358" s="104">
        <v>12</v>
      </c>
      <c r="J358" s="104" t="str">
        <f>J356</f>
        <v>1560 mm id</v>
      </c>
      <c r="K358" s="118">
        <v>1</v>
      </c>
      <c r="L358" s="118" t="s">
        <v>81</v>
      </c>
      <c r="M358" s="119">
        <v>1</v>
      </c>
      <c r="N358" s="104" t="s">
        <v>139</v>
      </c>
      <c r="O358" s="120">
        <v>1</v>
      </c>
      <c r="P358" s="104" t="s">
        <v>112</v>
      </c>
      <c r="Q358" s="150">
        <f t="shared" si="78"/>
        <v>1</v>
      </c>
      <c r="R358" s="148">
        <v>1</v>
      </c>
      <c r="S358" s="150">
        <f t="shared" si="79"/>
        <v>2</v>
      </c>
      <c r="T358" s="166" t="s">
        <v>48</v>
      </c>
    </row>
    <row r="359" spans="3:20" ht="20.25" customHeight="1">
      <c r="C359" s="96"/>
      <c r="D359" s="102">
        <f t="shared" si="70"/>
        <v>359</v>
      </c>
      <c r="E359" s="106" t="s">
        <v>355</v>
      </c>
      <c r="F359" s="108">
        <f t="shared" si="80"/>
        <v>358</v>
      </c>
      <c r="G359" s="105" t="s">
        <v>115</v>
      </c>
      <c r="H359" s="105"/>
      <c r="I359" s="104">
        <v>12</v>
      </c>
      <c r="J359" s="104" t="str">
        <f>J358</f>
        <v>1560 mm id</v>
      </c>
      <c r="K359" s="118">
        <v>1</v>
      </c>
      <c r="L359" s="118" t="s">
        <v>81</v>
      </c>
      <c r="M359" s="128">
        <f t="shared" ref="M359:M365" si="82">LEFT(J359,SEARCH(" ",J359,1)-1)*3.142*K359*0.001</f>
        <v>4.9015199999999997</v>
      </c>
      <c r="N359" s="104" t="s">
        <v>139</v>
      </c>
      <c r="O359" s="162">
        <f>VLOOKUP(I359,BM!$B$3:$Y$62,17,FALSE)</f>
        <v>2.5</v>
      </c>
      <c r="P359" s="104" t="s">
        <v>112</v>
      </c>
      <c r="Q359" s="150">
        <f t="shared" si="78"/>
        <v>12.253799999999998</v>
      </c>
      <c r="R359" s="148">
        <v>1</v>
      </c>
      <c r="S359" s="150">
        <f t="shared" si="79"/>
        <v>13.253799999999998</v>
      </c>
      <c r="T359" s="166" t="s">
        <v>48</v>
      </c>
    </row>
    <row r="360" spans="3:20" ht="20.25" customHeight="1">
      <c r="C360" s="96"/>
      <c r="D360" s="102">
        <f t="shared" si="70"/>
        <v>360</v>
      </c>
      <c r="E360" s="106" t="s">
        <v>356</v>
      </c>
      <c r="F360" s="108">
        <f t="shared" si="80"/>
        <v>359</v>
      </c>
      <c r="G360" s="105" t="s">
        <v>61</v>
      </c>
      <c r="H360" s="105"/>
      <c r="I360" s="104">
        <v>18</v>
      </c>
      <c r="J360" s="104" t="str">
        <f>J359</f>
        <v>1560 mm id</v>
      </c>
      <c r="K360" s="118">
        <v>1</v>
      </c>
      <c r="L360" s="118" t="s">
        <v>81</v>
      </c>
      <c r="M360" s="128">
        <f t="shared" si="82"/>
        <v>4.9015199999999997</v>
      </c>
      <c r="N360" s="104" t="s">
        <v>139</v>
      </c>
      <c r="O360" s="162">
        <f>VLOOKUP(I360,BM!$B$3:$Y$62,18,FALSE)</f>
        <v>1</v>
      </c>
      <c r="P360" s="104" t="s">
        <v>112</v>
      </c>
      <c r="Q360" s="150">
        <f t="shared" si="78"/>
        <v>4.9015199999999997</v>
      </c>
      <c r="R360" s="148">
        <v>1</v>
      </c>
      <c r="S360" s="150">
        <f t="shared" si="79"/>
        <v>5.9015199999999997</v>
      </c>
      <c r="T360" s="166" t="s">
        <v>48</v>
      </c>
    </row>
    <row r="361" spans="3:20" ht="20.25" customHeight="1">
      <c r="C361" s="96"/>
      <c r="D361" s="102">
        <f t="shared" si="70"/>
        <v>361</v>
      </c>
      <c r="E361" s="106" t="s">
        <v>357</v>
      </c>
      <c r="F361" s="108">
        <f t="shared" si="80"/>
        <v>360</v>
      </c>
      <c r="G361" s="105" t="s">
        <v>115</v>
      </c>
      <c r="H361" s="105"/>
      <c r="I361" s="104">
        <v>6</v>
      </c>
      <c r="J361" s="104" t="str">
        <f>J360</f>
        <v>1560 mm id</v>
      </c>
      <c r="K361" s="118">
        <v>1</v>
      </c>
      <c r="L361" s="118" t="s">
        <v>81</v>
      </c>
      <c r="M361" s="128">
        <f t="shared" si="82"/>
        <v>4.9015199999999997</v>
      </c>
      <c r="N361" s="104" t="s">
        <v>139</v>
      </c>
      <c r="O361" s="162">
        <f>VLOOKUP(I361,BM!$B$3:$Y$62,17,FALSE)</f>
        <v>0.9</v>
      </c>
      <c r="P361" s="104" t="s">
        <v>112</v>
      </c>
      <c r="Q361" s="150">
        <f t="shared" si="78"/>
        <v>4.4113679999999995</v>
      </c>
      <c r="R361" s="148">
        <v>1</v>
      </c>
      <c r="S361" s="150">
        <f t="shared" si="79"/>
        <v>5.4113679999999995</v>
      </c>
      <c r="T361" s="166" t="s">
        <v>48</v>
      </c>
    </row>
    <row r="362" spans="3:20" ht="20.25" customHeight="1">
      <c r="C362" s="96"/>
      <c r="D362" s="102">
        <f t="shared" si="70"/>
        <v>362</v>
      </c>
      <c r="E362" s="106" t="s">
        <v>358</v>
      </c>
      <c r="F362" s="108">
        <f t="shared" si="80"/>
        <v>361</v>
      </c>
      <c r="G362" s="105" t="s">
        <v>61</v>
      </c>
      <c r="H362" s="105"/>
      <c r="I362" s="104">
        <v>18</v>
      </c>
      <c r="J362" s="104" t="str">
        <f>J361</f>
        <v>1560 mm id</v>
      </c>
      <c r="K362" s="118">
        <v>1</v>
      </c>
      <c r="L362" s="118" t="s">
        <v>81</v>
      </c>
      <c r="M362" s="128">
        <f t="shared" si="82"/>
        <v>4.9015199999999997</v>
      </c>
      <c r="N362" s="104" t="s">
        <v>139</v>
      </c>
      <c r="O362" s="162">
        <f>VLOOKUP(I362,BM!$B$3:$Y$62,20,FALSE)</f>
        <v>0.5</v>
      </c>
      <c r="P362" s="104" t="s">
        <v>112</v>
      </c>
      <c r="Q362" s="150">
        <f t="shared" si="78"/>
        <v>2.4507599999999998</v>
      </c>
      <c r="R362" s="148">
        <v>1</v>
      </c>
      <c r="S362" s="150">
        <f t="shared" si="79"/>
        <v>3.4507599999999998</v>
      </c>
      <c r="T362" s="166" t="s">
        <v>48</v>
      </c>
    </row>
    <row r="363" spans="3:20" ht="20.25" customHeight="1">
      <c r="C363" s="96">
        <f>D363</f>
        <v>363</v>
      </c>
      <c r="D363" s="102">
        <f t="shared" si="70"/>
        <v>363</v>
      </c>
      <c r="E363" s="103" t="s">
        <v>359</v>
      </c>
      <c r="F363" s="108">
        <f>D357</f>
        <v>357</v>
      </c>
      <c r="G363" s="105"/>
      <c r="H363" s="105"/>
      <c r="I363" s="104"/>
      <c r="J363" s="104"/>
      <c r="K363" s="118"/>
      <c r="L363" s="118"/>
      <c r="M363" s="119"/>
      <c r="N363" s="104"/>
      <c r="O363" s="120"/>
      <c r="P363" s="104"/>
      <c r="Q363" s="150"/>
      <c r="R363" s="148"/>
      <c r="S363" s="150"/>
      <c r="T363" s="149"/>
    </row>
    <row r="364" spans="3:20" ht="20.25" customHeight="1">
      <c r="C364" s="96"/>
      <c r="D364" s="102">
        <f t="shared" si="70"/>
        <v>364</v>
      </c>
      <c r="E364" s="106" t="s">
        <v>360</v>
      </c>
      <c r="F364" s="108">
        <f t="shared" si="80"/>
        <v>363</v>
      </c>
      <c r="G364" s="105" t="s">
        <v>299</v>
      </c>
      <c r="H364" s="105"/>
      <c r="I364" s="104">
        <v>18</v>
      </c>
      <c r="J364" s="104" t="str">
        <f>J362</f>
        <v>1560 mm id</v>
      </c>
      <c r="K364" s="118">
        <v>1</v>
      </c>
      <c r="L364" s="118" t="s">
        <v>81</v>
      </c>
      <c r="M364" s="128">
        <f t="shared" si="82"/>
        <v>4.9015199999999997</v>
      </c>
      <c r="N364" s="104" t="s">
        <v>139</v>
      </c>
      <c r="O364" s="162">
        <f>VLOOKUP(I364,BM!$B$3:$Y$62,10,FALSE)</f>
        <v>1</v>
      </c>
      <c r="P364" s="104" t="s">
        <v>112</v>
      </c>
      <c r="Q364" s="150">
        <f t="shared" si="78"/>
        <v>4.9015199999999997</v>
      </c>
      <c r="R364" s="148">
        <v>1</v>
      </c>
      <c r="S364" s="150">
        <f t="shared" si="79"/>
        <v>5.9015199999999997</v>
      </c>
      <c r="T364" s="152" t="s">
        <v>48</v>
      </c>
    </row>
    <row r="365" spans="3:20" ht="20.25" customHeight="1">
      <c r="C365" s="96"/>
      <c r="D365" s="102">
        <f t="shared" si="70"/>
        <v>365</v>
      </c>
      <c r="E365" s="106" t="s">
        <v>361</v>
      </c>
      <c r="F365" s="108">
        <f t="shared" si="80"/>
        <v>364</v>
      </c>
      <c r="G365" s="105" t="s">
        <v>44</v>
      </c>
      <c r="H365" s="105"/>
      <c r="I365" s="104">
        <v>18</v>
      </c>
      <c r="J365" s="104" t="str">
        <f>J364</f>
        <v>1560 mm id</v>
      </c>
      <c r="K365" s="118">
        <v>1</v>
      </c>
      <c r="L365" s="118" t="s">
        <v>81</v>
      </c>
      <c r="M365" s="128">
        <f t="shared" si="82"/>
        <v>4.9015199999999997</v>
      </c>
      <c r="N365" s="104" t="s">
        <v>139</v>
      </c>
      <c r="O365" s="120">
        <v>1</v>
      </c>
      <c r="P365" s="104" t="s">
        <v>112</v>
      </c>
      <c r="Q365" s="150">
        <f t="shared" si="78"/>
        <v>4.9015199999999997</v>
      </c>
      <c r="R365" s="148">
        <v>1</v>
      </c>
      <c r="S365" s="150">
        <f t="shared" si="79"/>
        <v>5.9015199999999997</v>
      </c>
      <c r="T365" s="152" t="s">
        <v>48</v>
      </c>
    </row>
    <row r="366" spans="3:20" ht="20.25" customHeight="1">
      <c r="C366" s="96">
        <f>D366</f>
        <v>366</v>
      </c>
      <c r="D366" s="102">
        <f t="shared" si="70"/>
        <v>366</v>
      </c>
      <c r="E366" s="103" t="s">
        <v>362</v>
      </c>
      <c r="F366" s="108">
        <f>D363</f>
        <v>363</v>
      </c>
      <c r="G366" s="105"/>
      <c r="H366" s="105"/>
      <c r="I366" s="104"/>
      <c r="J366" s="104"/>
      <c r="K366" s="118"/>
      <c r="L366" s="118"/>
      <c r="M366" s="119"/>
      <c r="N366" s="104"/>
      <c r="O366" s="120"/>
      <c r="P366" s="104"/>
      <c r="Q366" s="150"/>
      <c r="R366" s="148"/>
      <c r="S366" s="150"/>
      <c r="T366" s="149"/>
    </row>
    <row r="367" spans="3:20" ht="20.25" customHeight="1">
      <c r="C367" s="96"/>
      <c r="D367" s="102">
        <f t="shared" si="70"/>
        <v>367</v>
      </c>
      <c r="E367" s="106" t="s">
        <v>363</v>
      </c>
      <c r="F367" s="108">
        <f t="shared" si="80"/>
        <v>366</v>
      </c>
      <c r="G367" s="105" t="s">
        <v>44</v>
      </c>
      <c r="H367" s="105"/>
      <c r="I367" s="104">
        <v>12</v>
      </c>
      <c r="J367" s="104" t="str">
        <f>J365</f>
        <v>1560 mm id</v>
      </c>
      <c r="K367" s="118">
        <v>1</v>
      </c>
      <c r="L367" s="118" t="s">
        <v>81</v>
      </c>
      <c r="M367" s="119">
        <v>1</v>
      </c>
      <c r="N367" s="104" t="s">
        <v>249</v>
      </c>
      <c r="O367" s="120">
        <v>1</v>
      </c>
      <c r="P367" s="104" t="s">
        <v>112</v>
      </c>
      <c r="Q367" s="150">
        <f t="shared" si="78"/>
        <v>1</v>
      </c>
      <c r="R367" s="148">
        <v>1</v>
      </c>
      <c r="S367" s="150">
        <f t="shared" si="79"/>
        <v>2</v>
      </c>
      <c r="T367" s="152" t="s">
        <v>48</v>
      </c>
    </row>
    <row r="368" spans="3:20" ht="20.25" customHeight="1">
      <c r="C368" s="96"/>
      <c r="D368" s="102">
        <f t="shared" si="70"/>
        <v>368</v>
      </c>
      <c r="E368" s="106" t="s">
        <v>364</v>
      </c>
      <c r="F368" s="108">
        <f t="shared" si="80"/>
        <v>367</v>
      </c>
      <c r="G368" s="105" t="s">
        <v>115</v>
      </c>
      <c r="H368" s="105"/>
      <c r="I368" s="104">
        <v>12</v>
      </c>
      <c r="J368" s="104" t="str">
        <f>J367</f>
        <v>1560 mm id</v>
      </c>
      <c r="K368" s="118">
        <v>1</v>
      </c>
      <c r="L368" s="118" t="s">
        <v>81</v>
      </c>
      <c r="M368" s="128">
        <f t="shared" ref="M368:M371" si="83">LEFT(J368,SEARCH(" ",J368,1)-1)*3.142*K368*0.001</f>
        <v>4.9015199999999997</v>
      </c>
      <c r="N368" s="104" t="s">
        <v>249</v>
      </c>
      <c r="O368" s="162">
        <f>VLOOKUP(I368,BM!$B$3:$Y$62,17,FALSE)</f>
        <v>2.5</v>
      </c>
      <c r="P368" s="104" t="s">
        <v>112</v>
      </c>
      <c r="Q368" s="150">
        <f t="shared" si="78"/>
        <v>12.253799999999998</v>
      </c>
      <c r="R368" s="148">
        <v>1</v>
      </c>
      <c r="S368" s="150">
        <f t="shared" si="79"/>
        <v>13.253799999999998</v>
      </c>
      <c r="T368" s="152" t="s">
        <v>48</v>
      </c>
    </row>
    <row r="369" spans="3:20" ht="20.25" customHeight="1">
      <c r="C369" s="96"/>
      <c r="D369" s="102">
        <f t="shared" si="70"/>
        <v>369</v>
      </c>
      <c r="E369" s="106" t="s">
        <v>365</v>
      </c>
      <c r="F369" s="108">
        <f t="shared" si="80"/>
        <v>368</v>
      </c>
      <c r="G369" s="105" t="s">
        <v>61</v>
      </c>
      <c r="H369" s="105"/>
      <c r="I369" s="104">
        <v>18</v>
      </c>
      <c r="J369" s="104" t="str">
        <f>J368</f>
        <v>1560 mm id</v>
      </c>
      <c r="K369" s="118">
        <v>1</v>
      </c>
      <c r="L369" s="118" t="s">
        <v>81</v>
      </c>
      <c r="M369" s="128">
        <f t="shared" si="83"/>
        <v>4.9015199999999997</v>
      </c>
      <c r="N369" s="104" t="s">
        <v>249</v>
      </c>
      <c r="O369" s="162">
        <f>VLOOKUP(I369,BM!$B$3:$Y$62,18,FALSE)</f>
        <v>1</v>
      </c>
      <c r="P369" s="104" t="s">
        <v>112</v>
      </c>
      <c r="Q369" s="150">
        <f t="shared" si="78"/>
        <v>4.9015199999999997</v>
      </c>
      <c r="R369" s="148">
        <v>1</v>
      </c>
      <c r="S369" s="150">
        <f t="shared" si="79"/>
        <v>5.9015199999999997</v>
      </c>
      <c r="T369" s="152" t="s">
        <v>48</v>
      </c>
    </row>
    <row r="370" spans="3:20" ht="20.25" customHeight="1">
      <c r="C370" s="96"/>
      <c r="D370" s="102">
        <f t="shared" si="70"/>
        <v>370</v>
      </c>
      <c r="E370" s="106" t="s">
        <v>366</v>
      </c>
      <c r="F370" s="108">
        <f t="shared" si="80"/>
        <v>369</v>
      </c>
      <c r="G370" s="105" t="s">
        <v>115</v>
      </c>
      <c r="H370" s="105"/>
      <c r="I370" s="104">
        <v>6</v>
      </c>
      <c r="J370" s="104" t="str">
        <f>J369</f>
        <v>1560 mm id</v>
      </c>
      <c r="K370" s="118">
        <v>1</v>
      </c>
      <c r="L370" s="118" t="s">
        <v>81</v>
      </c>
      <c r="M370" s="128">
        <f t="shared" si="83"/>
        <v>4.9015199999999997</v>
      </c>
      <c r="N370" s="104" t="s">
        <v>249</v>
      </c>
      <c r="O370" s="162">
        <f>VLOOKUP(I370,BM!$B$3:$Y$62,17,FALSE)</f>
        <v>0.9</v>
      </c>
      <c r="P370" s="104" t="s">
        <v>112</v>
      </c>
      <c r="Q370" s="150">
        <f t="shared" si="78"/>
        <v>4.4113679999999995</v>
      </c>
      <c r="R370" s="148">
        <v>1</v>
      </c>
      <c r="S370" s="150">
        <f t="shared" si="79"/>
        <v>5.4113679999999995</v>
      </c>
      <c r="T370" s="152" t="s">
        <v>48</v>
      </c>
    </row>
    <row r="371" spans="3:20" ht="20.25" customHeight="1">
      <c r="C371" s="96"/>
      <c r="D371" s="102">
        <f t="shared" si="70"/>
        <v>371</v>
      </c>
      <c r="E371" s="106" t="s">
        <v>367</v>
      </c>
      <c r="F371" s="108">
        <f t="shared" si="80"/>
        <v>370</v>
      </c>
      <c r="G371" s="105" t="s">
        <v>61</v>
      </c>
      <c r="H371" s="105"/>
      <c r="I371" s="104">
        <v>18</v>
      </c>
      <c r="J371" s="104" t="str">
        <f>J370</f>
        <v>1560 mm id</v>
      </c>
      <c r="K371" s="118">
        <v>1</v>
      </c>
      <c r="L371" s="118" t="s">
        <v>81</v>
      </c>
      <c r="M371" s="128">
        <f t="shared" si="83"/>
        <v>4.9015199999999997</v>
      </c>
      <c r="N371" s="104" t="s">
        <v>249</v>
      </c>
      <c r="O371" s="162">
        <f>VLOOKUP(I371,BM!$B$3:$Y$62,20,FALSE)</f>
        <v>0.5</v>
      </c>
      <c r="P371" s="104" t="s">
        <v>112</v>
      </c>
      <c r="Q371" s="150">
        <f t="shared" si="78"/>
        <v>2.4507599999999998</v>
      </c>
      <c r="R371" s="148">
        <v>1</v>
      </c>
      <c r="S371" s="150">
        <f t="shared" si="79"/>
        <v>3.4507599999999998</v>
      </c>
      <c r="T371" s="152" t="s">
        <v>48</v>
      </c>
    </row>
    <row r="372" spans="3:20" ht="20.25" customHeight="1">
      <c r="C372" s="96">
        <f>D372</f>
        <v>372</v>
      </c>
      <c r="D372" s="102">
        <f t="shared" si="70"/>
        <v>372</v>
      </c>
      <c r="E372" s="103" t="s">
        <v>761</v>
      </c>
      <c r="F372" s="108">
        <f>D366</f>
        <v>366</v>
      </c>
      <c r="G372" s="105"/>
      <c r="H372" s="105"/>
      <c r="I372" s="104"/>
      <c r="J372" s="104"/>
      <c r="K372" s="118"/>
      <c r="L372" s="118"/>
      <c r="M372" s="119"/>
      <c r="N372" s="104"/>
      <c r="O372" s="120"/>
      <c r="P372" s="104"/>
      <c r="Q372" s="150"/>
      <c r="R372" s="148"/>
      <c r="S372" s="150"/>
      <c r="T372" s="149"/>
    </row>
    <row r="373" spans="3:20" ht="20.25" customHeight="1">
      <c r="C373" s="96"/>
      <c r="D373" s="102">
        <f t="shared" si="70"/>
        <v>373</v>
      </c>
      <c r="E373" s="106" t="s">
        <v>369</v>
      </c>
      <c r="F373" s="108">
        <f t="shared" si="80"/>
        <v>372</v>
      </c>
      <c r="G373" s="105" t="s">
        <v>348</v>
      </c>
      <c r="H373" s="105"/>
      <c r="I373" s="104">
        <v>18</v>
      </c>
      <c r="J373" s="104" t="str">
        <f>J371</f>
        <v>1560 mm id</v>
      </c>
      <c r="K373" s="118">
        <v>1</v>
      </c>
      <c r="L373" s="118" t="s">
        <v>81</v>
      </c>
      <c r="M373" s="119">
        <v>1</v>
      </c>
      <c r="N373" s="132" t="s">
        <v>81</v>
      </c>
      <c r="O373" s="120">
        <v>4</v>
      </c>
      <c r="P373" s="104" t="s">
        <v>112</v>
      </c>
      <c r="Q373" s="150">
        <f t="shared" si="78"/>
        <v>4</v>
      </c>
      <c r="R373" s="148">
        <v>1</v>
      </c>
      <c r="S373" s="150">
        <f t="shared" si="79"/>
        <v>5</v>
      </c>
      <c r="T373" s="152" t="s">
        <v>48</v>
      </c>
    </row>
    <row r="374" spans="3:20" ht="20.25" customHeight="1">
      <c r="C374" s="96"/>
      <c r="D374" s="102">
        <f t="shared" si="70"/>
        <v>374</v>
      </c>
      <c r="E374" s="106" t="s">
        <v>370</v>
      </c>
      <c r="F374" s="108">
        <f t="shared" si="80"/>
        <v>373</v>
      </c>
      <c r="G374" s="105" t="s">
        <v>348</v>
      </c>
      <c r="H374" s="105"/>
      <c r="I374" s="104">
        <v>18</v>
      </c>
      <c r="J374" s="104" t="str">
        <f>J373</f>
        <v>1560 mm id</v>
      </c>
      <c r="K374" s="118">
        <v>1</v>
      </c>
      <c r="L374" s="118" t="s">
        <v>81</v>
      </c>
      <c r="M374" s="119">
        <v>1</v>
      </c>
      <c r="N374" s="104" t="s">
        <v>81</v>
      </c>
      <c r="O374" s="120">
        <v>4</v>
      </c>
      <c r="P374" s="104" t="s">
        <v>112</v>
      </c>
      <c r="Q374" s="150">
        <f t="shared" si="78"/>
        <v>4</v>
      </c>
      <c r="R374" s="148">
        <v>1</v>
      </c>
      <c r="S374" s="150">
        <f t="shared" si="79"/>
        <v>5</v>
      </c>
      <c r="T374" s="152" t="s">
        <v>48</v>
      </c>
    </row>
    <row r="375" spans="3:20" ht="20.25" customHeight="1">
      <c r="C375" s="96"/>
      <c r="D375" s="102">
        <f t="shared" si="70"/>
        <v>375</v>
      </c>
      <c r="E375" s="106" t="s">
        <v>370</v>
      </c>
      <c r="F375" s="108">
        <f t="shared" si="80"/>
        <v>374</v>
      </c>
      <c r="G375" s="105" t="s">
        <v>348</v>
      </c>
      <c r="H375" s="105"/>
      <c r="I375" s="104">
        <v>18</v>
      </c>
      <c r="J375" s="104" t="str">
        <f>J374</f>
        <v>1560 mm id</v>
      </c>
      <c r="K375" s="118">
        <v>1</v>
      </c>
      <c r="L375" s="118" t="s">
        <v>81</v>
      </c>
      <c r="M375" s="119">
        <v>1</v>
      </c>
      <c r="N375" s="104" t="s">
        <v>81</v>
      </c>
      <c r="O375" s="120">
        <v>4</v>
      </c>
      <c r="P375" s="104" t="s">
        <v>112</v>
      </c>
      <c r="Q375" s="150">
        <f t="shared" si="78"/>
        <v>4</v>
      </c>
      <c r="R375" s="148">
        <v>1</v>
      </c>
      <c r="S375" s="150">
        <f t="shared" si="79"/>
        <v>5</v>
      </c>
      <c r="T375" s="152" t="s">
        <v>48</v>
      </c>
    </row>
    <row r="376" spans="3:20" ht="20.25" customHeight="1">
      <c r="C376" s="96">
        <f>D376</f>
        <v>376</v>
      </c>
      <c r="D376" s="102">
        <f t="shared" si="70"/>
        <v>376</v>
      </c>
      <c r="E376" s="103" t="s">
        <v>762</v>
      </c>
      <c r="F376" s="108">
        <f>D372</f>
        <v>372</v>
      </c>
      <c r="G376" s="105"/>
      <c r="H376" s="105"/>
      <c r="I376" s="104"/>
      <c r="J376" s="104"/>
      <c r="K376" s="118"/>
      <c r="L376" s="118"/>
      <c r="M376" s="119"/>
      <c r="N376" s="104"/>
      <c r="O376" s="120"/>
      <c r="P376" s="104"/>
      <c r="Q376" s="150"/>
      <c r="R376" s="148"/>
      <c r="S376" s="150"/>
      <c r="T376" s="149"/>
    </row>
    <row r="377" spans="3:20" ht="20.25" customHeight="1">
      <c r="C377" s="96"/>
      <c r="D377" s="102">
        <f t="shared" si="70"/>
        <v>377</v>
      </c>
      <c r="E377" s="106" t="s">
        <v>372</v>
      </c>
      <c r="F377" s="108">
        <f t="shared" si="80"/>
        <v>376</v>
      </c>
      <c r="G377" s="105" t="s">
        <v>52</v>
      </c>
      <c r="H377" s="105"/>
      <c r="I377" s="160">
        <v>18</v>
      </c>
      <c r="J377" s="132" t="s">
        <v>373</v>
      </c>
      <c r="K377" s="118">
        <v>1</v>
      </c>
      <c r="L377" s="118" t="s">
        <v>39</v>
      </c>
      <c r="M377" s="128">
        <f t="shared" ref="M377:M378" si="84">LEFT(J377,SEARCH(" ",J377,1)-1)*3.142*K377*0.001</f>
        <v>3.0540240000000001</v>
      </c>
      <c r="N377" s="104" t="s">
        <v>249</v>
      </c>
      <c r="O377" s="162">
        <f>VLOOKUP(I377,BM!$B$3:$Y$62,2,FALSE)</f>
        <v>0.1</v>
      </c>
      <c r="P377" s="104" t="s">
        <v>112</v>
      </c>
      <c r="Q377" s="150">
        <f t="shared" si="78"/>
        <v>0.30540240000000002</v>
      </c>
      <c r="R377" s="148">
        <v>1</v>
      </c>
      <c r="S377" s="150">
        <f t="shared" si="79"/>
        <v>1.3054024</v>
      </c>
      <c r="T377" s="152" t="s">
        <v>48</v>
      </c>
    </row>
    <row r="378" spans="3:20" ht="20.25" customHeight="1">
      <c r="C378" s="96"/>
      <c r="D378" s="102">
        <f t="shared" si="70"/>
        <v>378</v>
      </c>
      <c r="E378" s="106" t="s">
        <v>372</v>
      </c>
      <c r="F378" s="108">
        <f t="shared" si="80"/>
        <v>377</v>
      </c>
      <c r="G378" s="105" t="s">
        <v>52</v>
      </c>
      <c r="H378" s="105"/>
      <c r="I378" s="104">
        <v>18</v>
      </c>
      <c r="J378" s="104" t="str">
        <f>J377</f>
        <v>972 mm lip od</v>
      </c>
      <c r="K378" s="118">
        <v>1</v>
      </c>
      <c r="L378" s="118" t="s">
        <v>39</v>
      </c>
      <c r="M378" s="128">
        <f t="shared" si="84"/>
        <v>3.0540240000000001</v>
      </c>
      <c r="N378" s="104" t="s">
        <v>249</v>
      </c>
      <c r="O378" s="162">
        <f>VLOOKUP(I378,BM!$B$3:$Y$62,2,FALSE)</f>
        <v>0.1</v>
      </c>
      <c r="P378" s="104" t="s">
        <v>112</v>
      </c>
      <c r="Q378" s="150">
        <f t="shared" si="78"/>
        <v>0.30540240000000002</v>
      </c>
      <c r="R378" s="148">
        <v>1</v>
      </c>
      <c r="S378" s="150">
        <f t="shared" si="79"/>
        <v>1.3054024</v>
      </c>
      <c r="T378" s="152" t="s">
        <v>48</v>
      </c>
    </row>
    <row r="379" spans="3:20" ht="20.25" customHeight="1">
      <c r="C379" s="96">
        <f t="shared" ref="C379:C380" si="85">D379</f>
        <v>379</v>
      </c>
      <c r="D379" s="102">
        <f t="shared" si="70"/>
        <v>379</v>
      </c>
      <c r="E379" s="106" t="s">
        <v>109</v>
      </c>
      <c r="F379" s="108">
        <f>D376</f>
        <v>376</v>
      </c>
      <c r="G379" s="105" t="s">
        <v>52</v>
      </c>
      <c r="H379" s="105"/>
      <c r="I379" s="104"/>
      <c r="J379" s="104"/>
      <c r="K379" s="118">
        <v>2</v>
      </c>
      <c r="L379" s="118" t="s">
        <v>81</v>
      </c>
      <c r="M379" s="119">
        <v>2</v>
      </c>
      <c r="N379" s="104" t="s">
        <v>81</v>
      </c>
      <c r="O379" s="120">
        <v>0.5</v>
      </c>
      <c r="P379" s="104" t="s">
        <v>112</v>
      </c>
      <c r="Q379" s="150">
        <f t="shared" si="78"/>
        <v>1</v>
      </c>
      <c r="R379" s="148">
        <v>1</v>
      </c>
      <c r="S379" s="150">
        <f t="shared" si="79"/>
        <v>2</v>
      </c>
      <c r="T379" s="152" t="s">
        <v>48</v>
      </c>
    </row>
    <row r="380" spans="3:20" ht="20.25" customHeight="1">
      <c r="C380" s="96">
        <f t="shared" si="85"/>
        <v>380</v>
      </c>
      <c r="D380" s="102">
        <f t="shared" si="70"/>
        <v>380</v>
      </c>
      <c r="E380" s="103" t="s">
        <v>763</v>
      </c>
      <c r="F380" s="108">
        <f>D379</f>
        <v>379</v>
      </c>
      <c r="G380" s="105"/>
      <c r="H380" s="105"/>
      <c r="I380" s="104"/>
      <c r="J380" s="104"/>
      <c r="K380" s="118"/>
      <c r="L380" s="118"/>
      <c r="M380" s="119"/>
      <c r="N380" s="104"/>
      <c r="O380" s="120"/>
      <c r="P380" s="104"/>
      <c r="Q380" s="150"/>
      <c r="R380" s="148"/>
      <c r="S380" s="150"/>
      <c r="T380" s="149"/>
    </row>
    <row r="381" spans="3:20" ht="20.25" customHeight="1">
      <c r="C381" s="96"/>
      <c r="D381" s="102">
        <f t="shared" si="70"/>
        <v>381</v>
      </c>
      <c r="E381" s="106" t="s">
        <v>372</v>
      </c>
      <c r="F381" s="108">
        <f t="shared" si="80"/>
        <v>380</v>
      </c>
      <c r="G381" s="105" t="s">
        <v>61</v>
      </c>
      <c r="H381" s="105"/>
      <c r="I381" s="104">
        <v>18</v>
      </c>
      <c r="J381" s="104" t="str">
        <f>J378</f>
        <v>972 mm lip od</v>
      </c>
      <c r="K381" s="118">
        <v>1</v>
      </c>
      <c r="L381" s="118" t="s">
        <v>39</v>
      </c>
      <c r="M381" s="128">
        <f t="shared" ref="M381:M382" si="86">LEFT(J381,SEARCH(" ",J381,1)-1)*3.142*K381*0.001</f>
        <v>3.0540240000000001</v>
      </c>
      <c r="N381" s="104" t="s">
        <v>249</v>
      </c>
      <c r="O381" s="162">
        <f>VLOOKUP(I381,BM!$B$3:$Y$62,6,FALSE)</f>
        <v>1</v>
      </c>
      <c r="P381" s="104" t="s">
        <v>112</v>
      </c>
      <c r="Q381" s="150">
        <f t="shared" si="78"/>
        <v>3.0540240000000001</v>
      </c>
      <c r="R381" s="148">
        <v>1</v>
      </c>
      <c r="S381" s="150">
        <f t="shared" si="79"/>
        <v>4.0540240000000001</v>
      </c>
      <c r="T381" s="152" t="s">
        <v>48</v>
      </c>
    </row>
    <row r="382" spans="3:20" ht="20.25" customHeight="1">
      <c r="C382" s="96"/>
      <c r="D382" s="102">
        <f t="shared" si="70"/>
        <v>382</v>
      </c>
      <c r="E382" s="106" t="s">
        <v>372</v>
      </c>
      <c r="F382" s="108">
        <f t="shared" si="80"/>
        <v>381</v>
      </c>
      <c r="G382" s="105" t="s">
        <v>61</v>
      </c>
      <c r="H382" s="105"/>
      <c r="I382" s="104">
        <v>18</v>
      </c>
      <c r="J382" s="104" t="str">
        <f>J381</f>
        <v>972 mm lip od</v>
      </c>
      <c r="K382" s="118">
        <v>1</v>
      </c>
      <c r="L382" s="118" t="s">
        <v>39</v>
      </c>
      <c r="M382" s="128">
        <f t="shared" si="86"/>
        <v>3.0540240000000001</v>
      </c>
      <c r="N382" s="104" t="s">
        <v>249</v>
      </c>
      <c r="O382" s="162">
        <f>VLOOKUP(I382,BM!$B$3:$Y$62,6,FALSE)</f>
        <v>1</v>
      </c>
      <c r="P382" s="104" t="s">
        <v>112</v>
      </c>
      <c r="Q382" s="150">
        <f t="shared" si="78"/>
        <v>3.0540240000000001</v>
      </c>
      <c r="R382" s="148">
        <v>1</v>
      </c>
      <c r="S382" s="150">
        <f t="shared" si="79"/>
        <v>4.0540240000000001</v>
      </c>
      <c r="T382" s="152" t="s">
        <v>48</v>
      </c>
    </row>
    <row r="383" spans="3:20" ht="20.25" customHeight="1">
      <c r="C383" s="96"/>
      <c r="D383" s="102">
        <f t="shared" si="70"/>
        <v>383</v>
      </c>
      <c r="E383" s="106" t="s">
        <v>109</v>
      </c>
      <c r="F383" s="108">
        <f t="shared" si="80"/>
        <v>382</v>
      </c>
      <c r="G383" s="105"/>
      <c r="H383" s="105"/>
      <c r="I383" s="104"/>
      <c r="J383" s="104"/>
      <c r="K383" s="118">
        <v>1</v>
      </c>
      <c r="L383" s="118" t="s">
        <v>39</v>
      </c>
      <c r="M383" s="119">
        <v>2</v>
      </c>
      <c r="N383" s="104" t="s">
        <v>81</v>
      </c>
      <c r="O383" s="120">
        <v>0.5</v>
      </c>
      <c r="P383" s="104" t="s">
        <v>112</v>
      </c>
      <c r="Q383" s="150">
        <f t="shared" si="78"/>
        <v>1</v>
      </c>
      <c r="R383" s="148">
        <v>1</v>
      </c>
      <c r="S383" s="150">
        <f t="shared" si="79"/>
        <v>2</v>
      </c>
      <c r="T383" s="152" t="s">
        <v>48</v>
      </c>
    </row>
    <row r="384" spans="3:20" ht="20.25" customHeight="1">
      <c r="C384" s="96">
        <f>D384</f>
        <v>384</v>
      </c>
      <c r="D384" s="102">
        <f t="shared" si="70"/>
        <v>384</v>
      </c>
      <c r="E384" s="103" t="s">
        <v>375</v>
      </c>
      <c r="F384" s="108">
        <f>D380</f>
        <v>380</v>
      </c>
      <c r="G384" s="105"/>
      <c r="H384" s="105"/>
      <c r="I384" s="104"/>
      <c r="J384" s="104"/>
      <c r="K384" s="118"/>
      <c r="L384" s="118"/>
      <c r="M384" s="119"/>
      <c r="N384" s="104"/>
      <c r="O384" s="120"/>
      <c r="P384" s="104"/>
      <c r="Q384" s="150"/>
      <c r="R384" s="148"/>
      <c r="S384" s="150"/>
      <c r="T384" s="149"/>
    </row>
    <row r="385" spans="3:20" ht="20.25" customHeight="1">
      <c r="C385" s="96"/>
      <c r="D385" s="102">
        <f t="shared" si="70"/>
        <v>385</v>
      </c>
      <c r="E385" s="106" t="s">
        <v>372</v>
      </c>
      <c r="F385" s="108">
        <f t="shared" si="80"/>
        <v>384</v>
      </c>
      <c r="G385" s="105" t="s">
        <v>299</v>
      </c>
      <c r="H385" s="105"/>
      <c r="I385" s="104"/>
      <c r="J385" s="132" t="s">
        <v>376</v>
      </c>
      <c r="K385" s="118">
        <v>1</v>
      </c>
      <c r="L385" s="118" t="s">
        <v>39</v>
      </c>
      <c r="M385" s="119">
        <v>1</v>
      </c>
      <c r="N385" s="104" t="s">
        <v>249</v>
      </c>
      <c r="O385" s="162" t="e">
        <f>VLOOKUP(J385,BM!$B$3:$Y$62,11,FALSE)</f>
        <v>#N/A</v>
      </c>
      <c r="P385" s="104" t="s">
        <v>112</v>
      </c>
      <c r="Q385" s="150" t="e">
        <f t="shared" si="78"/>
        <v>#N/A</v>
      </c>
      <c r="R385" s="148">
        <v>1</v>
      </c>
      <c r="S385" s="150" t="e">
        <f t="shared" si="79"/>
        <v>#N/A</v>
      </c>
      <c r="T385" s="152" t="s">
        <v>48</v>
      </c>
    </row>
    <row r="386" spans="3:20" ht="20.25" customHeight="1">
      <c r="C386" s="96"/>
      <c r="D386" s="102">
        <f t="shared" si="70"/>
        <v>386</v>
      </c>
      <c r="E386" s="106" t="s">
        <v>372</v>
      </c>
      <c r="F386" s="108">
        <f t="shared" si="80"/>
        <v>385</v>
      </c>
      <c r="G386" s="105" t="s">
        <v>299</v>
      </c>
      <c r="H386" s="105"/>
      <c r="I386" s="104"/>
      <c r="J386" s="132" t="s">
        <v>376</v>
      </c>
      <c r="K386" s="118">
        <v>1</v>
      </c>
      <c r="L386" s="118" t="s">
        <v>39</v>
      </c>
      <c r="M386" s="119">
        <v>1</v>
      </c>
      <c r="N386" s="104" t="s">
        <v>249</v>
      </c>
      <c r="O386" s="162" t="e">
        <f>VLOOKUP(J386,BM!$B$3:$Y$62,11,FALSE)</f>
        <v>#N/A</v>
      </c>
      <c r="P386" s="104" t="s">
        <v>112</v>
      </c>
      <c r="Q386" s="150" t="e">
        <f t="shared" si="78"/>
        <v>#N/A</v>
      </c>
      <c r="R386" s="148">
        <v>1</v>
      </c>
      <c r="S386" s="150" t="e">
        <f t="shared" si="79"/>
        <v>#N/A</v>
      </c>
      <c r="T386" s="152" t="s">
        <v>48</v>
      </c>
    </row>
    <row r="387" spans="3:20" ht="20.25" customHeight="1">
      <c r="C387" s="96"/>
      <c r="D387" s="102">
        <f t="shared" ref="D387:D450" si="87">D386+1</f>
        <v>387</v>
      </c>
      <c r="E387" s="106" t="s">
        <v>377</v>
      </c>
      <c r="F387" s="108">
        <f t="shared" si="80"/>
        <v>386</v>
      </c>
      <c r="G387" s="105"/>
      <c r="H387" s="105"/>
      <c r="I387" s="104"/>
      <c r="J387" s="104"/>
      <c r="K387" s="118">
        <v>2</v>
      </c>
      <c r="L387" s="118" t="s">
        <v>39</v>
      </c>
      <c r="M387" s="119">
        <v>1</v>
      </c>
      <c r="N387" s="104" t="s">
        <v>81</v>
      </c>
      <c r="O387" s="120">
        <v>1</v>
      </c>
      <c r="P387" s="104" t="s">
        <v>112</v>
      </c>
      <c r="Q387" s="150">
        <f t="shared" si="78"/>
        <v>1</v>
      </c>
      <c r="R387" s="148">
        <v>1</v>
      </c>
      <c r="S387" s="150">
        <f t="shared" si="79"/>
        <v>2</v>
      </c>
      <c r="T387" s="152" t="s">
        <v>48</v>
      </c>
    </row>
    <row r="388" spans="3:20" ht="20.25" customHeight="1">
      <c r="C388" s="96">
        <f>D388</f>
        <v>388</v>
      </c>
      <c r="D388" s="102">
        <f t="shared" si="87"/>
        <v>388</v>
      </c>
      <c r="E388" s="103" t="s">
        <v>764</v>
      </c>
      <c r="F388" s="108">
        <f>D384</f>
        <v>384</v>
      </c>
      <c r="G388" s="105"/>
      <c r="H388" s="105"/>
      <c r="I388" s="104"/>
      <c r="J388" s="104"/>
      <c r="K388" s="118"/>
      <c r="L388" s="118"/>
      <c r="M388" s="119"/>
      <c r="N388" s="104"/>
      <c r="O388" s="120"/>
      <c r="P388" s="104"/>
      <c r="Q388" s="150"/>
      <c r="R388" s="148"/>
      <c r="S388" s="150"/>
      <c r="T388" s="149"/>
    </row>
    <row r="389" spans="3:20" ht="20.25" customHeight="1">
      <c r="C389" s="96"/>
      <c r="D389" s="102">
        <f t="shared" si="87"/>
        <v>389</v>
      </c>
      <c r="E389" s="106" t="s">
        <v>372</v>
      </c>
      <c r="F389" s="108">
        <f t="shared" si="80"/>
        <v>388</v>
      </c>
      <c r="G389" s="105" t="s">
        <v>44</v>
      </c>
      <c r="H389" s="105"/>
      <c r="I389" s="104"/>
      <c r="J389" s="104" t="s">
        <v>376</v>
      </c>
      <c r="K389" s="118">
        <v>1</v>
      </c>
      <c r="L389" s="118" t="s">
        <v>39</v>
      </c>
      <c r="M389" s="119">
        <v>1</v>
      </c>
      <c r="N389" s="132" t="s">
        <v>48</v>
      </c>
      <c r="O389" s="120">
        <v>1</v>
      </c>
      <c r="P389" s="104" t="s">
        <v>112</v>
      </c>
      <c r="Q389" s="150">
        <f t="shared" si="78"/>
        <v>1</v>
      </c>
      <c r="R389" s="148">
        <v>1</v>
      </c>
      <c r="S389" s="150">
        <f t="shared" si="79"/>
        <v>2</v>
      </c>
      <c r="T389" s="152" t="s">
        <v>48</v>
      </c>
    </row>
    <row r="390" spans="3:20" ht="20.25" customHeight="1">
      <c r="C390" s="96"/>
      <c r="D390" s="102">
        <f t="shared" si="87"/>
        <v>390</v>
      </c>
      <c r="E390" s="106" t="s">
        <v>372</v>
      </c>
      <c r="F390" s="108">
        <f t="shared" si="80"/>
        <v>389</v>
      </c>
      <c r="G390" s="105" t="s">
        <v>44</v>
      </c>
      <c r="H390" s="105"/>
      <c r="I390" s="104"/>
      <c r="J390" s="104" t="s">
        <v>376</v>
      </c>
      <c r="K390" s="118">
        <v>1</v>
      </c>
      <c r="L390" s="118" t="s">
        <v>39</v>
      </c>
      <c r="M390" s="119">
        <v>1</v>
      </c>
      <c r="N390" s="132" t="s">
        <v>48</v>
      </c>
      <c r="O390" s="120">
        <v>1</v>
      </c>
      <c r="P390" s="104" t="s">
        <v>112</v>
      </c>
      <c r="Q390" s="150">
        <f t="shared" si="78"/>
        <v>1</v>
      </c>
      <c r="R390" s="148">
        <v>1</v>
      </c>
      <c r="S390" s="150">
        <f t="shared" si="79"/>
        <v>2</v>
      </c>
      <c r="T390" s="152" t="s">
        <v>48</v>
      </c>
    </row>
    <row r="391" spans="3:20" ht="20.25" customHeight="1">
      <c r="C391" s="96"/>
      <c r="D391" s="102">
        <f t="shared" si="87"/>
        <v>391</v>
      </c>
      <c r="E391" s="106" t="s">
        <v>377</v>
      </c>
      <c r="F391" s="108">
        <f t="shared" si="80"/>
        <v>390</v>
      </c>
      <c r="G391" s="105" t="s">
        <v>44</v>
      </c>
      <c r="H391" s="105"/>
      <c r="I391" s="104"/>
      <c r="J391" s="104" t="s">
        <v>376</v>
      </c>
      <c r="K391" s="118">
        <v>2</v>
      </c>
      <c r="L391" s="118" t="s">
        <v>39</v>
      </c>
      <c r="M391" s="119">
        <v>1</v>
      </c>
      <c r="N391" s="132" t="s">
        <v>48</v>
      </c>
      <c r="O391" s="120">
        <v>1</v>
      </c>
      <c r="P391" s="104" t="s">
        <v>112</v>
      </c>
      <c r="Q391" s="150">
        <f t="shared" si="78"/>
        <v>1</v>
      </c>
      <c r="R391" s="148">
        <v>1</v>
      </c>
      <c r="S391" s="150">
        <f t="shared" si="79"/>
        <v>2</v>
      </c>
      <c r="T391" s="152" t="s">
        <v>48</v>
      </c>
    </row>
    <row r="392" spans="3:20" ht="20.25" customHeight="1">
      <c r="C392" s="96">
        <f>D392</f>
        <v>392</v>
      </c>
      <c r="D392" s="102">
        <f t="shared" si="87"/>
        <v>392</v>
      </c>
      <c r="E392" s="103" t="s">
        <v>765</v>
      </c>
      <c r="F392" s="108">
        <f>D388</f>
        <v>388</v>
      </c>
      <c r="G392" s="105"/>
      <c r="H392" s="105"/>
      <c r="I392" s="104"/>
      <c r="J392" s="104"/>
      <c r="K392" s="118"/>
      <c r="L392" s="118"/>
      <c r="M392" s="119"/>
      <c r="N392" s="104"/>
      <c r="O392" s="120"/>
      <c r="P392" s="104"/>
      <c r="Q392" s="150"/>
      <c r="R392" s="148"/>
      <c r="S392" s="150"/>
      <c r="T392" s="149"/>
    </row>
    <row r="393" spans="3:20" ht="20.25" customHeight="1">
      <c r="C393" s="96"/>
      <c r="D393" s="102">
        <f t="shared" si="87"/>
        <v>393</v>
      </c>
      <c r="E393" s="106" t="s">
        <v>380</v>
      </c>
      <c r="F393" s="108">
        <f t="shared" si="80"/>
        <v>392</v>
      </c>
      <c r="G393" s="105" t="s">
        <v>37</v>
      </c>
      <c r="H393" s="105"/>
      <c r="I393" s="104"/>
      <c r="J393" s="104"/>
      <c r="K393" s="118">
        <v>1</v>
      </c>
      <c r="L393" s="141" t="s">
        <v>39</v>
      </c>
      <c r="M393" s="119">
        <v>1</v>
      </c>
      <c r="N393" s="132" t="s">
        <v>81</v>
      </c>
      <c r="O393" s="120">
        <v>1</v>
      </c>
      <c r="P393" s="132" t="s">
        <v>162</v>
      </c>
      <c r="Q393" s="150">
        <f t="shared" si="78"/>
        <v>1</v>
      </c>
      <c r="R393" s="148"/>
      <c r="S393" s="150">
        <f t="shared" si="79"/>
        <v>1</v>
      </c>
      <c r="T393" s="152" t="s">
        <v>48</v>
      </c>
    </row>
    <row r="394" spans="3:20" ht="20.25" customHeight="1">
      <c r="C394" s="96"/>
      <c r="D394" s="102">
        <f t="shared" si="87"/>
        <v>394</v>
      </c>
      <c r="E394" s="106" t="s">
        <v>381</v>
      </c>
      <c r="F394" s="108">
        <f t="shared" si="80"/>
        <v>393</v>
      </c>
      <c r="G394" s="105" t="s">
        <v>115</v>
      </c>
      <c r="H394" s="105"/>
      <c r="I394" s="104">
        <v>12</v>
      </c>
      <c r="J394" s="104" t="str">
        <f>J382</f>
        <v>972 mm lip od</v>
      </c>
      <c r="K394" s="118">
        <v>1</v>
      </c>
      <c r="L394" s="118" t="s">
        <v>39</v>
      </c>
      <c r="M394" s="128">
        <f t="shared" ref="M394:M400" si="88">LEFT(J394,SEARCH(" ",J394,1)-1)*3.142*K394*0.001</f>
        <v>3.0540240000000001</v>
      </c>
      <c r="N394" s="104" t="s">
        <v>249</v>
      </c>
      <c r="O394" s="162">
        <f>VLOOKUP(I394,BM!$B$3:$Y$62,17,FALSE)</f>
        <v>2.5</v>
      </c>
      <c r="P394" s="104" t="s">
        <v>112</v>
      </c>
      <c r="Q394" s="150">
        <f t="shared" si="78"/>
        <v>7.6350600000000002</v>
      </c>
      <c r="R394" s="148">
        <v>1</v>
      </c>
      <c r="S394" s="150">
        <f t="shared" si="79"/>
        <v>8.6350599999999993</v>
      </c>
      <c r="T394" s="152" t="s">
        <v>48</v>
      </c>
    </row>
    <row r="395" spans="3:20" ht="20.25" customHeight="1">
      <c r="C395" s="96"/>
      <c r="D395" s="102">
        <f t="shared" si="87"/>
        <v>395</v>
      </c>
      <c r="E395" s="106" t="s">
        <v>382</v>
      </c>
      <c r="F395" s="108">
        <f t="shared" si="80"/>
        <v>394</v>
      </c>
      <c r="G395" s="105" t="s">
        <v>115</v>
      </c>
      <c r="H395" s="105"/>
      <c r="I395" s="104">
        <v>12</v>
      </c>
      <c r="J395" s="104" t="str">
        <f t="shared" ref="J395:J400" si="89">J394</f>
        <v>972 mm lip od</v>
      </c>
      <c r="K395" s="118">
        <v>1</v>
      </c>
      <c r="L395" s="118" t="s">
        <v>39</v>
      </c>
      <c r="M395" s="128">
        <f t="shared" si="88"/>
        <v>3.0540240000000001</v>
      </c>
      <c r="N395" s="104" t="s">
        <v>249</v>
      </c>
      <c r="O395" s="162">
        <f>VLOOKUP(I395,BM!$B$3:$Y$62,17,FALSE)</f>
        <v>2.5</v>
      </c>
      <c r="P395" s="104" t="s">
        <v>112</v>
      </c>
      <c r="Q395" s="150">
        <f t="shared" si="78"/>
        <v>7.6350600000000002</v>
      </c>
      <c r="R395" s="148">
        <v>1</v>
      </c>
      <c r="S395" s="150">
        <f t="shared" si="79"/>
        <v>8.6350599999999993</v>
      </c>
      <c r="T395" s="152" t="s">
        <v>48</v>
      </c>
    </row>
    <row r="396" spans="3:20" ht="20.25" customHeight="1">
      <c r="C396" s="96"/>
      <c r="D396" s="102">
        <f t="shared" si="87"/>
        <v>396</v>
      </c>
      <c r="E396" s="106" t="s">
        <v>383</v>
      </c>
      <c r="F396" s="108">
        <f t="shared" si="80"/>
        <v>395</v>
      </c>
      <c r="G396" s="105" t="s">
        <v>115</v>
      </c>
      <c r="H396" s="105"/>
      <c r="I396" s="104">
        <v>12</v>
      </c>
      <c r="J396" s="104" t="str">
        <f t="shared" si="89"/>
        <v>972 mm lip od</v>
      </c>
      <c r="K396" s="118">
        <v>1</v>
      </c>
      <c r="L396" s="118" t="s">
        <v>39</v>
      </c>
      <c r="M396" s="128">
        <f t="shared" si="88"/>
        <v>3.0540240000000001</v>
      </c>
      <c r="N396" s="104" t="s">
        <v>249</v>
      </c>
      <c r="O396" s="162">
        <f>VLOOKUP(I396,BM!$B$3:$Y$62,17,FALSE)</f>
        <v>2.5</v>
      </c>
      <c r="P396" s="104" t="s">
        <v>112</v>
      </c>
      <c r="Q396" s="150">
        <f t="shared" si="78"/>
        <v>7.6350600000000002</v>
      </c>
      <c r="R396" s="148">
        <v>1</v>
      </c>
      <c r="S396" s="150">
        <f t="shared" si="79"/>
        <v>8.6350599999999993</v>
      </c>
      <c r="T396" s="152" t="s">
        <v>48</v>
      </c>
    </row>
    <row r="397" spans="3:20" ht="20.25" customHeight="1">
      <c r="C397" s="96"/>
      <c r="D397" s="102">
        <f t="shared" si="87"/>
        <v>397</v>
      </c>
      <c r="E397" s="106" t="s">
        <v>384</v>
      </c>
      <c r="F397" s="108">
        <f t="shared" si="80"/>
        <v>396</v>
      </c>
      <c r="G397" s="105" t="s">
        <v>44</v>
      </c>
      <c r="H397" s="105"/>
      <c r="I397" s="104">
        <v>12</v>
      </c>
      <c r="J397" s="104" t="str">
        <f t="shared" si="89"/>
        <v>972 mm lip od</v>
      </c>
      <c r="K397" s="118">
        <v>2</v>
      </c>
      <c r="L397" s="118" t="s">
        <v>39</v>
      </c>
      <c r="M397" s="128">
        <f t="shared" si="88"/>
        <v>6.1080480000000001</v>
      </c>
      <c r="N397" s="104" t="s">
        <v>249</v>
      </c>
      <c r="O397" s="120">
        <v>1</v>
      </c>
      <c r="P397" s="104" t="s">
        <v>112</v>
      </c>
      <c r="Q397" s="150">
        <f t="shared" si="78"/>
        <v>6.1080480000000001</v>
      </c>
      <c r="R397" s="148">
        <v>1</v>
      </c>
      <c r="S397" s="150">
        <f t="shared" si="79"/>
        <v>7.1080480000000001</v>
      </c>
      <c r="T397" s="152" t="s">
        <v>48</v>
      </c>
    </row>
    <row r="398" spans="3:20" ht="20.25" customHeight="1">
      <c r="C398" s="96"/>
      <c r="D398" s="102">
        <f t="shared" si="87"/>
        <v>398</v>
      </c>
      <c r="E398" s="106" t="s">
        <v>385</v>
      </c>
      <c r="F398" s="108">
        <f t="shared" si="80"/>
        <v>397</v>
      </c>
      <c r="G398" s="105" t="s">
        <v>386</v>
      </c>
      <c r="H398" s="105"/>
      <c r="I398" s="104">
        <v>8</v>
      </c>
      <c r="J398" s="104" t="str">
        <f t="shared" si="89"/>
        <v>972 mm lip od</v>
      </c>
      <c r="K398" s="118">
        <v>1</v>
      </c>
      <c r="L398" s="118" t="s">
        <v>39</v>
      </c>
      <c r="M398" s="128">
        <f t="shared" si="88"/>
        <v>3.0540240000000001</v>
      </c>
      <c r="N398" s="104" t="s">
        <v>249</v>
      </c>
      <c r="O398" s="162">
        <f>VLOOKUP(I398,BM!$B$3:$Y$62,17,FALSE)</f>
        <v>1.36</v>
      </c>
      <c r="P398" s="104" t="s">
        <v>112</v>
      </c>
      <c r="Q398" s="150">
        <f t="shared" si="78"/>
        <v>4.1534726400000004</v>
      </c>
      <c r="R398" s="148">
        <v>1</v>
      </c>
      <c r="S398" s="150">
        <f t="shared" si="79"/>
        <v>5.1534726400000004</v>
      </c>
      <c r="T398" s="152" t="s">
        <v>48</v>
      </c>
    </row>
    <row r="399" spans="3:20" ht="20.25" customHeight="1">
      <c r="C399" s="96"/>
      <c r="D399" s="102">
        <f t="shared" si="87"/>
        <v>399</v>
      </c>
      <c r="E399" s="106" t="s">
        <v>387</v>
      </c>
      <c r="F399" s="108">
        <f t="shared" si="80"/>
        <v>398</v>
      </c>
      <c r="G399" s="105" t="s">
        <v>386</v>
      </c>
      <c r="H399" s="105"/>
      <c r="I399" s="104">
        <v>8</v>
      </c>
      <c r="J399" s="104" t="str">
        <f t="shared" si="89"/>
        <v>972 mm lip od</v>
      </c>
      <c r="K399" s="118">
        <v>1</v>
      </c>
      <c r="L399" s="118" t="s">
        <v>39</v>
      </c>
      <c r="M399" s="128">
        <f t="shared" si="88"/>
        <v>3.0540240000000001</v>
      </c>
      <c r="N399" s="104" t="s">
        <v>249</v>
      </c>
      <c r="O399" s="162">
        <f>VLOOKUP(I399,BM!$B$3:$Y$62,17,FALSE)</f>
        <v>1.36</v>
      </c>
      <c r="P399" s="104" t="s">
        <v>112</v>
      </c>
      <c r="Q399" s="150">
        <f t="shared" si="78"/>
        <v>4.1534726400000004</v>
      </c>
      <c r="R399" s="148">
        <v>1</v>
      </c>
      <c r="S399" s="150">
        <f t="shared" si="79"/>
        <v>5.1534726400000004</v>
      </c>
      <c r="T399" s="152" t="s">
        <v>48</v>
      </c>
    </row>
    <row r="400" spans="3:20" ht="20.25" customHeight="1">
      <c r="C400" s="96"/>
      <c r="D400" s="102">
        <f t="shared" si="87"/>
        <v>400</v>
      </c>
      <c r="E400" s="106" t="s">
        <v>388</v>
      </c>
      <c r="F400" s="108">
        <f t="shared" si="80"/>
        <v>399</v>
      </c>
      <c r="G400" s="105" t="s">
        <v>386</v>
      </c>
      <c r="H400" s="105"/>
      <c r="I400" s="104">
        <v>8</v>
      </c>
      <c r="J400" s="104" t="str">
        <f t="shared" si="89"/>
        <v>972 mm lip od</v>
      </c>
      <c r="K400" s="118">
        <v>0</v>
      </c>
      <c r="L400" s="118" t="s">
        <v>39</v>
      </c>
      <c r="M400" s="128">
        <f t="shared" si="88"/>
        <v>0</v>
      </c>
      <c r="N400" s="104" t="s">
        <v>249</v>
      </c>
      <c r="O400" s="162">
        <f>VLOOKUP(I400,BM!$B$3:$Y$62,17,FALSE)</f>
        <v>1.36</v>
      </c>
      <c r="P400" s="104" t="s">
        <v>112</v>
      </c>
      <c r="Q400" s="150">
        <f t="shared" si="78"/>
        <v>0</v>
      </c>
      <c r="R400" s="148">
        <v>1</v>
      </c>
      <c r="S400" s="150">
        <f t="shared" si="79"/>
        <v>1</v>
      </c>
      <c r="T400" s="152" t="s">
        <v>48</v>
      </c>
    </row>
    <row r="401" spans="3:22" ht="20.25" customHeight="1">
      <c r="C401" s="96">
        <f>D401</f>
        <v>401</v>
      </c>
      <c r="D401" s="102">
        <f t="shared" si="87"/>
        <v>401</v>
      </c>
      <c r="E401" s="103" t="s">
        <v>389</v>
      </c>
      <c r="F401" s="108">
        <f>D392</f>
        <v>392</v>
      </c>
      <c r="G401" s="105"/>
      <c r="H401" s="105"/>
      <c r="I401" s="104"/>
      <c r="J401" s="104"/>
      <c r="K401" s="118"/>
      <c r="L401" s="118"/>
      <c r="M401" s="119"/>
      <c r="N401" s="104"/>
      <c r="O401" s="120"/>
      <c r="P401" s="104"/>
      <c r="Q401" s="150"/>
      <c r="R401" s="148"/>
      <c r="S401" s="150"/>
      <c r="T401" s="149"/>
    </row>
    <row r="402" spans="3:22" ht="20.25" customHeight="1">
      <c r="C402" s="96"/>
      <c r="D402" s="102">
        <f t="shared" si="87"/>
        <v>402</v>
      </c>
      <c r="E402" s="106" t="s">
        <v>390</v>
      </c>
      <c r="F402" s="108">
        <f t="shared" si="80"/>
        <v>401</v>
      </c>
      <c r="G402" s="105" t="s">
        <v>111</v>
      </c>
      <c r="H402" s="105"/>
      <c r="I402" s="104">
        <v>25</v>
      </c>
      <c r="J402" s="112" t="s">
        <v>391</v>
      </c>
      <c r="K402" s="118">
        <v>2</v>
      </c>
      <c r="L402" s="118" t="s">
        <v>39</v>
      </c>
      <c r="M402" s="128">
        <f>LEFT(J402,SEARCH(" ",J402,1)-1)*3.142*K402*2*0.001</f>
        <v>20.058527999999999</v>
      </c>
      <c r="N402" s="104" t="s">
        <v>81</v>
      </c>
      <c r="O402" s="120">
        <v>0.5</v>
      </c>
      <c r="P402" s="104" t="s">
        <v>162</v>
      </c>
      <c r="Q402" s="150">
        <f t="shared" si="78"/>
        <v>10.029264</v>
      </c>
      <c r="R402" s="148">
        <v>1</v>
      </c>
      <c r="S402" s="150">
        <f t="shared" si="79"/>
        <v>11.029264</v>
      </c>
      <c r="T402" s="152" t="s">
        <v>48</v>
      </c>
    </row>
    <row r="403" spans="3:22" ht="20.25" customHeight="1">
      <c r="C403" s="96"/>
      <c r="D403" s="102">
        <f t="shared" si="87"/>
        <v>403</v>
      </c>
      <c r="E403" s="106" t="s">
        <v>392</v>
      </c>
      <c r="F403" s="108">
        <f t="shared" si="80"/>
        <v>402</v>
      </c>
      <c r="G403" s="105" t="s">
        <v>156</v>
      </c>
      <c r="H403" s="105"/>
      <c r="I403" s="104">
        <v>12</v>
      </c>
      <c r="J403" s="104" t="str">
        <f>J402</f>
        <v>1596 mm od</v>
      </c>
      <c r="K403" s="118">
        <v>2</v>
      </c>
      <c r="L403" s="118" t="s">
        <v>249</v>
      </c>
      <c r="M403" s="128">
        <f>LEFT(J403,SEARCH(" ",J403,1)-1)*3.142*K403*2*0.001</f>
        <v>20.058527999999999</v>
      </c>
      <c r="N403" s="104" t="s">
        <v>249</v>
      </c>
      <c r="O403" s="162">
        <f>VLOOKUP(I403,BM!$B$3:$Y$62,22,FALSE)</f>
        <v>1.6</v>
      </c>
      <c r="P403" s="104" t="s">
        <v>162</v>
      </c>
      <c r="Q403" s="150">
        <f t="shared" si="78"/>
        <v>32.0936448</v>
      </c>
      <c r="R403" s="148">
        <v>1</v>
      </c>
      <c r="S403" s="150">
        <f t="shared" si="79"/>
        <v>33.0936448</v>
      </c>
      <c r="T403" s="152" t="s">
        <v>48</v>
      </c>
    </row>
    <row r="404" spans="3:22" ht="20.25" customHeight="1">
      <c r="C404" s="96"/>
      <c r="D404" s="102">
        <f t="shared" si="87"/>
        <v>404</v>
      </c>
      <c r="E404" s="106" t="s">
        <v>393</v>
      </c>
      <c r="F404" s="108">
        <f t="shared" si="80"/>
        <v>403</v>
      </c>
      <c r="G404" s="105" t="s">
        <v>394</v>
      </c>
      <c r="H404" s="105"/>
      <c r="I404" s="104"/>
      <c r="J404" s="108" t="str">
        <f>J403</f>
        <v>1596 mm od</v>
      </c>
      <c r="K404" s="118">
        <v>2</v>
      </c>
      <c r="L404" s="118" t="s">
        <v>81</v>
      </c>
      <c r="M404" s="119">
        <f>K404</f>
        <v>2</v>
      </c>
      <c r="N404" s="104" t="s">
        <v>81</v>
      </c>
      <c r="O404" s="120">
        <v>8</v>
      </c>
      <c r="P404" s="104" t="s">
        <v>162</v>
      </c>
      <c r="Q404" s="150">
        <f t="shared" si="78"/>
        <v>16</v>
      </c>
      <c r="R404" s="148">
        <v>1</v>
      </c>
      <c r="S404" s="150">
        <f t="shared" si="79"/>
        <v>17</v>
      </c>
      <c r="T404" s="152" t="s">
        <v>48</v>
      </c>
    </row>
    <row r="405" spans="3:22" ht="20.25" customHeight="1">
      <c r="C405" s="96"/>
      <c r="D405" s="102">
        <f t="shared" si="87"/>
        <v>405</v>
      </c>
      <c r="E405" s="106" t="s">
        <v>395</v>
      </c>
      <c r="F405" s="108">
        <f t="shared" si="80"/>
        <v>404</v>
      </c>
      <c r="G405" s="105" t="s">
        <v>396</v>
      </c>
      <c r="H405" s="105"/>
      <c r="I405" s="104"/>
      <c r="J405" s="108" t="str">
        <f>J404</f>
        <v>1596 mm od</v>
      </c>
      <c r="K405" s="118">
        <v>2</v>
      </c>
      <c r="L405" s="118" t="s">
        <v>81</v>
      </c>
      <c r="M405" s="119">
        <f>K405</f>
        <v>2</v>
      </c>
      <c r="N405" s="104" t="s">
        <v>81</v>
      </c>
      <c r="O405" s="120">
        <v>6</v>
      </c>
      <c r="P405" s="104" t="s">
        <v>162</v>
      </c>
      <c r="Q405" s="150">
        <f t="shared" si="78"/>
        <v>12</v>
      </c>
      <c r="R405" s="148">
        <v>1</v>
      </c>
      <c r="S405" s="150">
        <f t="shared" si="79"/>
        <v>13</v>
      </c>
      <c r="T405" s="152" t="s">
        <v>48</v>
      </c>
    </row>
    <row r="406" spans="3:22" ht="20.25" customHeight="1">
      <c r="C406" s="96"/>
      <c r="D406" s="102">
        <f t="shared" si="87"/>
        <v>406</v>
      </c>
      <c r="E406" s="106" t="s">
        <v>397</v>
      </c>
      <c r="F406" s="108">
        <f t="shared" si="80"/>
        <v>405</v>
      </c>
      <c r="G406" s="105" t="s">
        <v>156</v>
      </c>
      <c r="H406" s="105"/>
      <c r="I406" s="104">
        <v>12</v>
      </c>
      <c r="J406" s="132" t="s">
        <v>398</v>
      </c>
      <c r="K406" s="118">
        <v>1</v>
      </c>
      <c r="L406" s="141" t="s">
        <v>81</v>
      </c>
      <c r="M406" s="142">
        <f>(300*16+1536*3.142*360^-1*120*2)*2*0.001</f>
        <v>16.034815999999999</v>
      </c>
      <c r="N406" s="104" t="s">
        <v>249</v>
      </c>
      <c r="O406" s="162">
        <f>VLOOKUP(I406,BM!$B$3:$Y$62,22,FALSE)</f>
        <v>1.6</v>
      </c>
      <c r="P406" s="104" t="s">
        <v>162</v>
      </c>
      <c r="Q406" s="150">
        <f t="shared" si="78"/>
        <v>25.655705600000001</v>
      </c>
      <c r="R406" s="148">
        <v>1</v>
      </c>
      <c r="S406" s="150">
        <f t="shared" si="79"/>
        <v>26.655705600000001</v>
      </c>
      <c r="T406" s="152" t="s">
        <v>48</v>
      </c>
      <c r="V406" s="87">
        <f>(135+135+25)*8+(1596*3.142*0.33)</f>
        <v>4014.8285599999999</v>
      </c>
    </row>
    <row r="407" spans="3:22" ht="20.25" customHeight="1">
      <c r="C407" s="96"/>
      <c r="D407" s="102">
        <f t="shared" si="87"/>
        <v>407</v>
      </c>
      <c r="E407" s="106" t="s">
        <v>399</v>
      </c>
      <c r="F407" s="108">
        <f t="shared" si="80"/>
        <v>406</v>
      </c>
      <c r="G407" s="105" t="s">
        <v>149</v>
      </c>
      <c r="H407" s="105"/>
      <c r="I407" s="104"/>
      <c r="J407" s="104"/>
      <c r="K407" s="118">
        <v>1</v>
      </c>
      <c r="L407" s="118" t="s">
        <v>39</v>
      </c>
      <c r="M407" s="119">
        <v>1</v>
      </c>
      <c r="N407" s="104" t="s">
        <v>81</v>
      </c>
      <c r="O407" s="120">
        <v>8</v>
      </c>
      <c r="P407" s="104" t="s">
        <v>162</v>
      </c>
      <c r="Q407" s="150">
        <f t="shared" si="78"/>
        <v>8</v>
      </c>
      <c r="R407" s="148">
        <v>1</v>
      </c>
      <c r="S407" s="150">
        <f t="shared" si="79"/>
        <v>9</v>
      </c>
      <c r="T407" s="152" t="s">
        <v>48</v>
      </c>
    </row>
    <row r="408" spans="3:22" ht="20.25" customHeight="1">
      <c r="C408" s="96">
        <f>D408</f>
        <v>408</v>
      </c>
      <c r="D408" s="102">
        <f t="shared" si="87"/>
        <v>408</v>
      </c>
      <c r="E408" s="103" t="s">
        <v>400</v>
      </c>
      <c r="F408" s="108">
        <f>D401</f>
        <v>401</v>
      </c>
      <c r="G408" s="105"/>
      <c r="H408" s="105"/>
      <c r="I408" s="104"/>
      <c r="J408" s="104"/>
      <c r="K408" s="118"/>
      <c r="L408" s="118"/>
      <c r="M408" s="119"/>
      <c r="N408" s="104"/>
      <c r="O408" s="120"/>
      <c r="P408" s="104"/>
      <c r="Q408" s="150"/>
      <c r="R408" s="148"/>
      <c r="S408" s="150"/>
      <c r="T408" s="149"/>
    </row>
    <row r="409" spans="3:22" ht="20.25" customHeight="1">
      <c r="C409" s="96"/>
      <c r="D409" s="102">
        <f t="shared" si="87"/>
        <v>409</v>
      </c>
      <c r="E409" s="106" t="s">
        <v>401</v>
      </c>
      <c r="F409" s="108">
        <f t="shared" si="80"/>
        <v>408</v>
      </c>
      <c r="G409" s="105" t="s">
        <v>402</v>
      </c>
      <c r="H409" s="105"/>
      <c r="I409" s="104"/>
      <c r="J409" s="104"/>
      <c r="K409" s="118">
        <v>1</v>
      </c>
      <c r="L409" s="118" t="s">
        <v>39</v>
      </c>
      <c r="M409" s="119">
        <v>1</v>
      </c>
      <c r="N409" s="104" t="s">
        <v>81</v>
      </c>
      <c r="O409" s="120">
        <v>4</v>
      </c>
      <c r="P409" s="104" t="s">
        <v>162</v>
      </c>
      <c r="Q409" s="150">
        <f t="shared" si="78"/>
        <v>4</v>
      </c>
      <c r="R409" s="148">
        <v>1</v>
      </c>
      <c r="S409" s="150">
        <f t="shared" si="79"/>
        <v>5</v>
      </c>
      <c r="T409" s="152" t="s">
        <v>48</v>
      </c>
    </row>
    <row r="410" spans="3:22" ht="20.25" customHeight="1">
      <c r="C410" s="96"/>
      <c r="D410" s="102">
        <f t="shared" si="87"/>
        <v>410</v>
      </c>
      <c r="E410" s="106" t="s">
        <v>403</v>
      </c>
      <c r="F410" s="108">
        <f t="shared" si="80"/>
        <v>409</v>
      </c>
      <c r="G410" s="105" t="s">
        <v>172</v>
      </c>
      <c r="H410" s="105"/>
      <c r="I410" s="104"/>
      <c r="J410" s="104"/>
      <c r="K410" s="118">
        <v>1</v>
      </c>
      <c r="L410" s="141" t="s">
        <v>39</v>
      </c>
      <c r="M410" s="119">
        <v>1</v>
      </c>
      <c r="N410" s="104" t="s">
        <v>81</v>
      </c>
      <c r="O410" s="120">
        <v>4</v>
      </c>
      <c r="P410" s="104" t="s">
        <v>162</v>
      </c>
      <c r="Q410" s="150">
        <f t="shared" si="78"/>
        <v>4</v>
      </c>
      <c r="R410" s="148">
        <v>1</v>
      </c>
      <c r="S410" s="150">
        <f t="shared" si="79"/>
        <v>5</v>
      </c>
      <c r="T410" s="152" t="s">
        <v>48</v>
      </c>
    </row>
    <row r="411" spans="3:22" ht="20.25" customHeight="1">
      <c r="C411" s="96"/>
      <c r="D411" s="102">
        <f t="shared" si="87"/>
        <v>411</v>
      </c>
      <c r="E411" s="106" t="s">
        <v>404</v>
      </c>
      <c r="F411" s="108">
        <f t="shared" si="80"/>
        <v>410</v>
      </c>
      <c r="G411" s="105" t="s">
        <v>115</v>
      </c>
      <c r="H411" s="105"/>
      <c r="I411" s="104">
        <v>12</v>
      </c>
      <c r="J411" s="104"/>
      <c r="K411" s="118">
        <v>6</v>
      </c>
      <c r="L411" s="118" t="s">
        <v>139</v>
      </c>
      <c r="M411" s="142">
        <f>430*12*0.001</f>
        <v>5.16</v>
      </c>
      <c r="N411" s="104" t="s">
        <v>249</v>
      </c>
      <c r="O411" s="162">
        <f>VLOOKUP(I411,BM!$B$3:$Y$62,22,FALSE)</f>
        <v>1.6</v>
      </c>
      <c r="P411" s="104" t="s">
        <v>162</v>
      </c>
      <c r="Q411" s="150">
        <f t="shared" si="78"/>
        <v>8.2560000000000002</v>
      </c>
      <c r="R411" s="148">
        <v>1</v>
      </c>
      <c r="S411" s="150">
        <f t="shared" si="79"/>
        <v>9.2560000000000002</v>
      </c>
      <c r="T411" s="152" t="s">
        <v>48</v>
      </c>
    </row>
    <row r="412" spans="3:22" ht="20.25" customHeight="1">
      <c r="C412" s="96">
        <f>D412</f>
        <v>412</v>
      </c>
      <c r="D412" s="102">
        <f t="shared" si="87"/>
        <v>412</v>
      </c>
      <c r="E412" s="103" t="s">
        <v>405</v>
      </c>
      <c r="F412" s="167">
        <f>D408</f>
        <v>408</v>
      </c>
      <c r="G412" s="105"/>
      <c r="H412" s="105"/>
      <c r="I412" s="104"/>
      <c r="J412" s="104"/>
      <c r="K412" s="118"/>
      <c r="L412" s="118"/>
      <c r="M412" s="119"/>
      <c r="N412" s="104"/>
      <c r="O412" s="120"/>
      <c r="P412" s="104"/>
      <c r="Q412" s="150"/>
      <c r="R412" s="148"/>
      <c r="S412" s="150"/>
      <c r="T412" s="149"/>
    </row>
    <row r="413" spans="3:22" ht="20.25" customHeight="1">
      <c r="C413" s="96"/>
      <c r="D413" s="102">
        <f t="shared" si="87"/>
        <v>413</v>
      </c>
      <c r="E413" s="106" t="s">
        <v>406</v>
      </c>
      <c r="F413" s="108">
        <f t="shared" ref="F413:F476" si="90">D412</f>
        <v>412</v>
      </c>
      <c r="G413" s="105" t="s">
        <v>44</v>
      </c>
      <c r="H413" s="105"/>
      <c r="I413" s="104">
        <v>18</v>
      </c>
      <c r="J413" s="104" t="s">
        <v>407</v>
      </c>
      <c r="K413" s="118">
        <v>1</v>
      </c>
      <c r="L413" s="118" t="s">
        <v>39</v>
      </c>
      <c r="M413" s="119">
        <v>1</v>
      </c>
      <c r="N413" s="104"/>
      <c r="O413" s="120">
        <v>12</v>
      </c>
      <c r="P413" s="104" t="s">
        <v>162</v>
      </c>
      <c r="Q413" s="150">
        <f t="shared" ref="Q413:Q474" si="91">M413*O413</f>
        <v>12</v>
      </c>
      <c r="R413" s="148">
        <v>1</v>
      </c>
      <c r="S413" s="150">
        <f t="shared" ref="S413:S474" si="92">Q413+R413</f>
        <v>13</v>
      </c>
      <c r="T413" s="152" t="s">
        <v>48</v>
      </c>
    </row>
    <row r="414" spans="3:22" ht="20.25" customHeight="1">
      <c r="C414" s="96"/>
      <c r="D414" s="102">
        <f t="shared" si="87"/>
        <v>414</v>
      </c>
      <c r="E414" s="106" t="s">
        <v>64</v>
      </c>
      <c r="F414" s="108">
        <f t="shared" si="90"/>
        <v>413</v>
      </c>
      <c r="G414" s="105" t="s">
        <v>44</v>
      </c>
      <c r="H414" s="105"/>
      <c r="I414" s="104">
        <v>18</v>
      </c>
      <c r="J414" s="108" t="str">
        <f>J413</f>
        <v>6130 lg</v>
      </c>
      <c r="K414" s="164">
        <f>K413</f>
        <v>1</v>
      </c>
      <c r="L414" s="164" t="str">
        <f>L413</f>
        <v>No</v>
      </c>
      <c r="M414" s="142">
        <f>M413</f>
        <v>1</v>
      </c>
      <c r="N414" s="104"/>
      <c r="O414" s="120">
        <v>1</v>
      </c>
      <c r="P414" s="104" t="s">
        <v>41</v>
      </c>
      <c r="Q414" s="150">
        <f t="shared" si="91"/>
        <v>1</v>
      </c>
      <c r="R414" s="148"/>
      <c r="S414" s="150">
        <f t="shared" si="92"/>
        <v>1</v>
      </c>
      <c r="T414" s="152" t="s">
        <v>41</v>
      </c>
    </row>
    <row r="415" spans="3:22" ht="20.25" customHeight="1">
      <c r="C415" s="96">
        <f t="shared" ref="C415:C416" si="93">D415</f>
        <v>415</v>
      </c>
      <c r="D415" s="102">
        <f t="shared" si="87"/>
        <v>415</v>
      </c>
      <c r="E415" s="163" t="s">
        <v>766</v>
      </c>
      <c r="F415" s="108"/>
      <c r="G415" s="105"/>
      <c r="H415" s="105"/>
      <c r="I415" s="104"/>
      <c r="J415" s="104"/>
      <c r="K415" s="118"/>
      <c r="L415" s="118"/>
      <c r="M415" s="119"/>
      <c r="N415" s="104"/>
      <c r="O415" s="120"/>
      <c r="P415" s="104"/>
      <c r="Q415" s="150"/>
      <c r="R415" s="148"/>
      <c r="S415" s="150"/>
      <c r="T415" s="149"/>
    </row>
    <row r="416" spans="3:22" ht="20.25" customHeight="1">
      <c r="C416" s="96">
        <f t="shared" si="93"/>
        <v>416</v>
      </c>
      <c r="D416" s="102">
        <f t="shared" si="87"/>
        <v>416</v>
      </c>
      <c r="E416" s="103" t="s">
        <v>426</v>
      </c>
      <c r="F416" s="112">
        <f>D5</f>
        <v>5</v>
      </c>
      <c r="G416" s="105"/>
      <c r="H416" s="105"/>
      <c r="I416" s="104"/>
      <c r="J416" s="104"/>
      <c r="K416" s="118"/>
      <c r="L416" s="118"/>
      <c r="M416" s="119"/>
      <c r="N416" s="104"/>
      <c r="O416" s="120"/>
      <c r="P416" s="104"/>
      <c r="Q416" s="150"/>
      <c r="R416" s="148"/>
      <c r="S416" s="150"/>
      <c r="T416" s="149"/>
    </row>
    <row r="417" spans="3:20" ht="20.25" customHeight="1">
      <c r="C417" s="96"/>
      <c r="D417" s="102">
        <f t="shared" si="87"/>
        <v>417</v>
      </c>
      <c r="E417" s="106" t="s">
        <v>410</v>
      </c>
      <c r="F417" s="108">
        <f t="shared" si="90"/>
        <v>416</v>
      </c>
      <c r="G417" s="105" t="s">
        <v>37</v>
      </c>
      <c r="H417" s="105"/>
      <c r="I417" s="104"/>
      <c r="J417" s="104"/>
      <c r="K417" s="118">
        <v>1</v>
      </c>
      <c r="L417" s="141" t="s">
        <v>39</v>
      </c>
      <c r="M417" s="119">
        <v>1</v>
      </c>
      <c r="N417" s="132" t="s">
        <v>39</v>
      </c>
      <c r="O417" s="120">
        <v>4</v>
      </c>
      <c r="P417" s="132" t="s">
        <v>41</v>
      </c>
      <c r="Q417" s="150">
        <f t="shared" si="91"/>
        <v>4</v>
      </c>
      <c r="R417" s="148"/>
      <c r="S417" s="150">
        <f t="shared" si="92"/>
        <v>4</v>
      </c>
      <c r="T417" s="152" t="s">
        <v>41</v>
      </c>
    </row>
    <row r="418" spans="3:20" ht="20.25" customHeight="1">
      <c r="C418" s="96"/>
      <c r="D418" s="102">
        <f t="shared" si="87"/>
        <v>418</v>
      </c>
      <c r="E418" s="106" t="s">
        <v>411</v>
      </c>
      <c r="F418" s="108">
        <f t="shared" si="90"/>
        <v>417</v>
      </c>
      <c r="G418" s="105" t="s">
        <v>201</v>
      </c>
      <c r="H418" s="105"/>
      <c r="I418" s="104">
        <v>18</v>
      </c>
      <c r="J418" s="132" t="s">
        <v>412</v>
      </c>
      <c r="K418" s="118">
        <v>1</v>
      </c>
      <c r="L418" s="118" t="s">
        <v>81</v>
      </c>
      <c r="M418" s="128">
        <f t="shared" ref="M418:M422" si="94">LEFT(J418,SEARCH(" ",J418,1)-1)*K418*0.001</f>
        <v>0.83100000000000007</v>
      </c>
      <c r="N418" s="104" t="s">
        <v>139</v>
      </c>
      <c r="O418" s="162">
        <f>VLOOKUP(I418,BM!$B$3:$Y$62,2,FALSE)</f>
        <v>0.1</v>
      </c>
      <c r="P418" s="104" t="s">
        <v>112</v>
      </c>
      <c r="Q418" s="150">
        <f t="shared" si="91"/>
        <v>8.3100000000000007E-2</v>
      </c>
      <c r="R418" s="148">
        <v>1</v>
      </c>
      <c r="S418" s="150">
        <f t="shared" si="92"/>
        <v>1.0831</v>
      </c>
      <c r="T418" s="152" t="s">
        <v>48</v>
      </c>
    </row>
    <row r="419" spans="3:20" ht="20.25" customHeight="1">
      <c r="C419" s="96"/>
      <c r="D419" s="102">
        <f t="shared" si="87"/>
        <v>419</v>
      </c>
      <c r="E419" s="106" t="s">
        <v>413</v>
      </c>
      <c r="F419" s="108">
        <f t="shared" si="90"/>
        <v>418</v>
      </c>
      <c r="G419" s="105" t="s">
        <v>52</v>
      </c>
      <c r="H419" s="105"/>
      <c r="I419" s="108">
        <f t="shared" ref="I419:J422" si="95">I418</f>
        <v>18</v>
      </c>
      <c r="J419" s="108" t="str">
        <f>J418</f>
        <v>831 mm</v>
      </c>
      <c r="K419" s="118">
        <v>1</v>
      </c>
      <c r="L419" s="118" t="s">
        <v>81</v>
      </c>
      <c r="M419" s="128">
        <f t="shared" si="94"/>
        <v>0.83100000000000007</v>
      </c>
      <c r="N419" s="104" t="s">
        <v>139</v>
      </c>
      <c r="O419" s="162">
        <f>VLOOKUP(I419,BM!$B$3:$Y$62,3,FALSE)</f>
        <v>0.25</v>
      </c>
      <c r="P419" s="104" t="s">
        <v>112</v>
      </c>
      <c r="Q419" s="150">
        <f t="shared" si="91"/>
        <v>0.20775000000000002</v>
      </c>
      <c r="R419" s="148">
        <v>1</v>
      </c>
      <c r="S419" s="150">
        <f t="shared" si="92"/>
        <v>1.2077500000000001</v>
      </c>
      <c r="T419" s="152" t="s">
        <v>48</v>
      </c>
    </row>
    <row r="420" spans="3:20" ht="20.25" customHeight="1">
      <c r="C420" s="96"/>
      <c r="D420" s="102">
        <f t="shared" si="87"/>
        <v>420</v>
      </c>
      <c r="E420" s="106" t="s">
        <v>414</v>
      </c>
      <c r="F420" s="108">
        <f t="shared" si="90"/>
        <v>419</v>
      </c>
      <c r="G420" s="105" t="s">
        <v>61</v>
      </c>
      <c r="H420" s="105"/>
      <c r="I420" s="108">
        <f t="shared" si="95"/>
        <v>18</v>
      </c>
      <c r="J420" s="108" t="str">
        <f t="shared" si="95"/>
        <v>831 mm</v>
      </c>
      <c r="K420" s="118">
        <v>1</v>
      </c>
      <c r="L420" s="118" t="s">
        <v>81</v>
      </c>
      <c r="M420" s="128">
        <f t="shared" si="94"/>
        <v>0.83100000000000007</v>
      </c>
      <c r="N420" s="104" t="s">
        <v>139</v>
      </c>
      <c r="O420" s="162">
        <f>VLOOKUP(I420,BM!$B$3:$Y$62,4,FALSE)</f>
        <v>0.15</v>
      </c>
      <c r="P420" s="104" t="s">
        <v>112</v>
      </c>
      <c r="Q420" s="150">
        <f t="shared" si="91"/>
        <v>0.12465000000000001</v>
      </c>
      <c r="R420" s="148">
        <v>1</v>
      </c>
      <c r="S420" s="150">
        <f t="shared" si="92"/>
        <v>1.1246499999999999</v>
      </c>
      <c r="T420" s="152" t="s">
        <v>48</v>
      </c>
    </row>
    <row r="421" spans="3:20" ht="20.25" customHeight="1">
      <c r="C421" s="96"/>
      <c r="D421" s="102">
        <f t="shared" si="87"/>
        <v>421</v>
      </c>
      <c r="E421" s="106" t="s">
        <v>415</v>
      </c>
      <c r="F421" s="108">
        <f t="shared" si="90"/>
        <v>420</v>
      </c>
      <c r="G421" s="105" t="s">
        <v>224</v>
      </c>
      <c r="H421" s="105"/>
      <c r="I421" s="108">
        <f t="shared" si="95"/>
        <v>18</v>
      </c>
      <c r="J421" s="108" t="str">
        <f t="shared" si="95"/>
        <v>831 mm</v>
      </c>
      <c r="K421" s="118">
        <v>1</v>
      </c>
      <c r="L421" s="118" t="s">
        <v>81</v>
      </c>
      <c r="M421" s="128">
        <f t="shared" si="94"/>
        <v>0.83100000000000007</v>
      </c>
      <c r="N421" s="104" t="s">
        <v>139</v>
      </c>
      <c r="O421" s="162">
        <f>VLOOKUP(I421,BM!$B$3:$Y$62,5,FALSE)</f>
        <v>0.5</v>
      </c>
      <c r="P421" s="104" t="s">
        <v>112</v>
      </c>
      <c r="Q421" s="150">
        <f t="shared" si="91"/>
        <v>0.41550000000000004</v>
      </c>
      <c r="R421" s="148">
        <v>1</v>
      </c>
      <c r="S421" s="150">
        <f t="shared" si="92"/>
        <v>1.4155</v>
      </c>
      <c r="T421" s="152" t="s">
        <v>48</v>
      </c>
    </row>
    <row r="422" spans="3:20" ht="20.25" customHeight="1">
      <c r="C422" s="96"/>
      <c r="D422" s="102">
        <f t="shared" si="87"/>
        <v>422</v>
      </c>
      <c r="E422" s="106" t="s">
        <v>416</v>
      </c>
      <c r="F422" s="108">
        <f t="shared" si="90"/>
        <v>421</v>
      </c>
      <c r="G422" s="105" t="s">
        <v>61</v>
      </c>
      <c r="H422" s="105"/>
      <c r="I422" s="108">
        <f t="shared" si="95"/>
        <v>18</v>
      </c>
      <c r="J422" s="108" t="str">
        <f t="shared" si="95"/>
        <v>831 mm</v>
      </c>
      <c r="K422" s="118">
        <v>1</v>
      </c>
      <c r="L422" s="118" t="s">
        <v>81</v>
      </c>
      <c r="M422" s="128">
        <f t="shared" si="94"/>
        <v>0.83100000000000007</v>
      </c>
      <c r="N422" s="104" t="s">
        <v>139</v>
      </c>
      <c r="O422" s="162">
        <f>VLOOKUP(I422,BM!$B$3:$Y$62,6,FALSE)</f>
        <v>1</v>
      </c>
      <c r="P422" s="104" t="s">
        <v>112</v>
      </c>
      <c r="Q422" s="150">
        <f t="shared" si="91"/>
        <v>0.83100000000000007</v>
      </c>
      <c r="R422" s="148">
        <v>1</v>
      </c>
      <c r="S422" s="150">
        <f t="shared" si="92"/>
        <v>1.831</v>
      </c>
      <c r="T422" s="152" t="s">
        <v>48</v>
      </c>
    </row>
    <row r="423" spans="3:20" ht="20.25" customHeight="1">
      <c r="C423" s="96">
        <f>D423</f>
        <v>423</v>
      </c>
      <c r="D423" s="102">
        <f t="shared" si="87"/>
        <v>423</v>
      </c>
      <c r="E423" s="103" t="s">
        <v>767</v>
      </c>
      <c r="F423" s="108">
        <f>D416</f>
        <v>416</v>
      </c>
      <c r="G423" s="105"/>
      <c r="H423" s="105"/>
      <c r="I423" s="104"/>
      <c r="J423" s="104"/>
      <c r="K423" s="118"/>
      <c r="L423" s="118"/>
      <c r="M423" s="119"/>
      <c r="N423" s="104"/>
      <c r="O423" s="120"/>
      <c r="P423" s="104"/>
      <c r="Q423" s="150"/>
      <c r="R423" s="148"/>
      <c r="S423" s="150"/>
      <c r="T423" s="149"/>
    </row>
    <row r="424" spans="3:20" ht="20.25" customHeight="1">
      <c r="C424" s="96"/>
      <c r="D424" s="102">
        <f t="shared" si="87"/>
        <v>424</v>
      </c>
      <c r="E424" s="106" t="s">
        <v>418</v>
      </c>
      <c r="F424" s="108">
        <f t="shared" si="90"/>
        <v>423</v>
      </c>
      <c r="G424" s="105" t="s">
        <v>286</v>
      </c>
      <c r="H424" s="105"/>
      <c r="I424" s="108">
        <f>I422</f>
        <v>18</v>
      </c>
      <c r="J424" s="108" t="str">
        <f>J422</f>
        <v>831 mm</v>
      </c>
      <c r="K424" s="118">
        <v>1</v>
      </c>
      <c r="L424" s="118" t="s">
        <v>81</v>
      </c>
      <c r="M424" s="119">
        <v>1</v>
      </c>
      <c r="N424" s="104" t="s">
        <v>139</v>
      </c>
      <c r="O424" s="120">
        <v>3</v>
      </c>
      <c r="P424" s="104" t="s">
        <v>112</v>
      </c>
      <c r="Q424" s="150">
        <f t="shared" si="91"/>
        <v>3</v>
      </c>
      <c r="R424" s="148">
        <v>1</v>
      </c>
      <c r="S424" s="150">
        <f t="shared" si="92"/>
        <v>4</v>
      </c>
      <c r="T424" s="152" t="s">
        <v>48</v>
      </c>
    </row>
    <row r="425" spans="3:20" ht="20.25" customHeight="1">
      <c r="C425" s="96"/>
      <c r="D425" s="102">
        <f t="shared" si="87"/>
        <v>425</v>
      </c>
      <c r="E425" s="106" t="s">
        <v>419</v>
      </c>
      <c r="F425" s="108">
        <f t="shared" si="90"/>
        <v>424</v>
      </c>
      <c r="G425" s="105" t="s">
        <v>420</v>
      </c>
      <c r="H425" s="105"/>
      <c r="I425" s="108">
        <f t="shared" ref="I425:J427" si="96">I424</f>
        <v>18</v>
      </c>
      <c r="J425" s="108" t="str">
        <f t="shared" si="96"/>
        <v>831 mm</v>
      </c>
      <c r="K425" s="118">
        <v>1</v>
      </c>
      <c r="L425" s="118" t="s">
        <v>81</v>
      </c>
      <c r="M425" s="128">
        <f>LEFT(J425,SEARCH(" ",J425,1)-1)*K425*0.001*2</f>
        <v>1.6620000000000001</v>
      </c>
      <c r="N425" s="104" t="s">
        <v>139</v>
      </c>
      <c r="O425" s="162">
        <f>VLOOKUP(I425,BM!$B$3:$Y$62,8,FALSE)</f>
        <v>0.3</v>
      </c>
      <c r="P425" s="104" t="s">
        <v>112</v>
      </c>
      <c r="Q425" s="150">
        <f t="shared" si="91"/>
        <v>0.49860000000000004</v>
      </c>
      <c r="R425" s="148">
        <v>1</v>
      </c>
      <c r="S425" s="150">
        <f t="shared" si="92"/>
        <v>1.4986000000000002</v>
      </c>
      <c r="T425" s="152" t="s">
        <v>48</v>
      </c>
    </row>
    <row r="426" spans="3:20" ht="20.25" customHeight="1">
      <c r="C426" s="96"/>
      <c r="D426" s="102">
        <f t="shared" si="87"/>
        <v>426</v>
      </c>
      <c r="E426" s="106" t="s">
        <v>421</v>
      </c>
      <c r="F426" s="108">
        <f t="shared" si="90"/>
        <v>425</v>
      </c>
      <c r="G426" s="105" t="s">
        <v>348</v>
      </c>
      <c r="H426" s="105"/>
      <c r="I426" s="108">
        <f t="shared" si="96"/>
        <v>18</v>
      </c>
      <c r="J426" s="108" t="str">
        <f t="shared" si="96"/>
        <v>831 mm</v>
      </c>
      <c r="K426" s="118">
        <v>1</v>
      </c>
      <c r="L426" s="118" t="s">
        <v>81</v>
      </c>
      <c r="M426" s="128">
        <f>LEFT(J426,SEARCH(" ",J426,1)-1)*K426*0.001*2</f>
        <v>1.6620000000000001</v>
      </c>
      <c r="N426" s="104" t="s">
        <v>139</v>
      </c>
      <c r="O426" s="162">
        <f>VLOOKUP(I426,BM!$B$3:$Y$62,9,FALSE)</f>
        <v>1</v>
      </c>
      <c r="P426" s="104" t="s">
        <v>112</v>
      </c>
      <c r="Q426" s="150">
        <f t="shared" si="91"/>
        <v>1.6620000000000001</v>
      </c>
      <c r="R426" s="148">
        <v>1</v>
      </c>
      <c r="S426" s="150">
        <f t="shared" si="92"/>
        <v>2.6619999999999999</v>
      </c>
      <c r="T426" s="152" t="s">
        <v>48</v>
      </c>
    </row>
    <row r="427" spans="3:20" ht="20.25" customHeight="1">
      <c r="C427" s="96"/>
      <c r="D427" s="102">
        <f t="shared" si="87"/>
        <v>427</v>
      </c>
      <c r="E427" s="106" t="s">
        <v>422</v>
      </c>
      <c r="F427" s="108">
        <f t="shared" si="90"/>
        <v>426</v>
      </c>
      <c r="G427" s="105" t="s">
        <v>286</v>
      </c>
      <c r="H427" s="105"/>
      <c r="I427" s="108">
        <f t="shared" si="96"/>
        <v>18</v>
      </c>
      <c r="J427" s="108" t="str">
        <f t="shared" si="96"/>
        <v>831 mm</v>
      </c>
      <c r="K427" s="118">
        <v>1</v>
      </c>
      <c r="L427" s="118" t="s">
        <v>81</v>
      </c>
      <c r="M427" s="128">
        <v>1</v>
      </c>
      <c r="N427" s="132" t="s">
        <v>39</v>
      </c>
      <c r="O427" s="120">
        <v>3</v>
      </c>
      <c r="P427" s="104" t="s">
        <v>112</v>
      </c>
      <c r="Q427" s="150">
        <f t="shared" si="91"/>
        <v>3</v>
      </c>
      <c r="R427" s="148">
        <v>1</v>
      </c>
      <c r="S427" s="150">
        <f t="shared" si="92"/>
        <v>4</v>
      </c>
      <c r="T427" s="152" t="s">
        <v>48</v>
      </c>
    </row>
    <row r="428" spans="3:20" ht="20.25" customHeight="1">
      <c r="C428" s="96">
        <f>D428</f>
        <v>428</v>
      </c>
      <c r="D428" s="102">
        <f t="shared" si="87"/>
        <v>428</v>
      </c>
      <c r="E428" s="103" t="s">
        <v>423</v>
      </c>
      <c r="F428" s="108">
        <f>D423</f>
        <v>423</v>
      </c>
      <c r="G428" s="105"/>
      <c r="H428" s="105"/>
      <c r="I428" s="104"/>
      <c r="J428" s="104"/>
      <c r="K428" s="118"/>
      <c r="L428" s="118"/>
      <c r="M428" s="119"/>
      <c r="N428" s="104"/>
      <c r="O428" s="120"/>
      <c r="P428" s="104"/>
      <c r="Q428" s="150"/>
      <c r="R428" s="148"/>
      <c r="S428" s="150"/>
      <c r="T428" s="149"/>
    </row>
    <row r="429" spans="3:20" ht="20.25" customHeight="1">
      <c r="C429" s="96"/>
      <c r="D429" s="102">
        <f t="shared" si="87"/>
        <v>429</v>
      </c>
      <c r="E429" s="106" t="s">
        <v>424</v>
      </c>
      <c r="F429" s="108">
        <f t="shared" si="90"/>
        <v>428</v>
      </c>
      <c r="G429" s="105" t="s">
        <v>348</v>
      </c>
      <c r="H429" s="105"/>
      <c r="I429" s="104">
        <v>18</v>
      </c>
      <c r="J429" s="108" t="str">
        <f>J427</f>
        <v>831 mm</v>
      </c>
      <c r="K429" s="118">
        <v>1</v>
      </c>
      <c r="L429" s="118" t="s">
        <v>81</v>
      </c>
      <c r="M429" s="128">
        <f>LEFT(J429,SEARCH(" ",J429,1)-1)*K429*0.001*2</f>
        <v>1.6620000000000001</v>
      </c>
      <c r="N429" s="104" t="s">
        <v>139</v>
      </c>
      <c r="O429" s="162">
        <f>VLOOKUP(I429,BM!$B$3:$Y$62,9,FALSE)</f>
        <v>1</v>
      </c>
      <c r="P429" s="104" t="s">
        <v>112</v>
      </c>
      <c r="Q429" s="150">
        <f t="shared" si="91"/>
        <v>1.6620000000000001</v>
      </c>
      <c r="R429" s="148">
        <v>1</v>
      </c>
      <c r="S429" s="150">
        <f t="shared" si="92"/>
        <v>2.6619999999999999</v>
      </c>
      <c r="T429" s="152" t="s">
        <v>48</v>
      </c>
    </row>
    <row r="430" spans="3:20" ht="20.25" customHeight="1">
      <c r="C430" s="96"/>
      <c r="D430" s="102">
        <f t="shared" si="87"/>
        <v>430</v>
      </c>
      <c r="E430" s="106" t="s">
        <v>425</v>
      </c>
      <c r="F430" s="108">
        <f t="shared" si="90"/>
        <v>429</v>
      </c>
      <c r="G430" s="105" t="s">
        <v>111</v>
      </c>
      <c r="H430" s="105"/>
      <c r="I430" s="104">
        <v>18</v>
      </c>
      <c r="J430" s="108" t="str">
        <f>J429</f>
        <v>831 mm</v>
      </c>
      <c r="K430" s="118">
        <v>1</v>
      </c>
      <c r="L430" s="118" t="s">
        <v>81</v>
      </c>
      <c r="M430" s="128">
        <f>LEFT(J430,SEARCH(" ",J430,1)-1)*K430*0.001</f>
        <v>0.83100000000000007</v>
      </c>
      <c r="N430" s="104" t="s">
        <v>139</v>
      </c>
      <c r="O430" s="162">
        <f>VLOOKUP(I430,BM!$B$3:$Y$62,10,FALSE)</f>
        <v>1</v>
      </c>
      <c r="P430" s="104" t="s">
        <v>112</v>
      </c>
      <c r="Q430" s="150">
        <f t="shared" si="91"/>
        <v>0.83100000000000007</v>
      </c>
      <c r="R430" s="148">
        <v>1</v>
      </c>
      <c r="S430" s="150">
        <f t="shared" si="92"/>
        <v>1.831</v>
      </c>
      <c r="T430" s="152" t="s">
        <v>48</v>
      </c>
    </row>
    <row r="431" spans="3:20" ht="20.25" customHeight="1">
      <c r="C431" s="96">
        <f>D431</f>
        <v>431</v>
      </c>
      <c r="D431" s="102">
        <f t="shared" si="87"/>
        <v>431</v>
      </c>
      <c r="E431" s="103" t="s">
        <v>426</v>
      </c>
      <c r="F431" s="108">
        <f>D428</f>
        <v>428</v>
      </c>
      <c r="G431" s="105"/>
      <c r="H431" s="105"/>
      <c r="I431" s="104"/>
      <c r="J431" s="104"/>
      <c r="K431" s="118"/>
      <c r="L431" s="118"/>
      <c r="M431" s="119"/>
      <c r="N431" s="104"/>
      <c r="O431" s="120"/>
      <c r="P431" s="104"/>
      <c r="Q431" s="150"/>
      <c r="R431" s="148"/>
      <c r="S431" s="150"/>
      <c r="T431" s="149"/>
    </row>
    <row r="432" spans="3:20" ht="20.25" customHeight="1">
      <c r="C432" s="96"/>
      <c r="D432" s="102">
        <f t="shared" si="87"/>
        <v>432</v>
      </c>
      <c r="E432" s="106" t="s">
        <v>427</v>
      </c>
      <c r="F432" s="108">
        <f t="shared" si="90"/>
        <v>431</v>
      </c>
      <c r="G432" s="105" t="s">
        <v>201</v>
      </c>
      <c r="H432" s="105"/>
      <c r="I432" s="104">
        <v>18</v>
      </c>
      <c r="J432" s="108" t="str">
        <f>J430</f>
        <v>831 mm</v>
      </c>
      <c r="K432" s="118">
        <v>1</v>
      </c>
      <c r="L432" s="118" t="s">
        <v>81</v>
      </c>
      <c r="M432" s="119">
        <v>1</v>
      </c>
      <c r="N432" s="104" t="s">
        <v>139</v>
      </c>
      <c r="O432" s="120">
        <v>1</v>
      </c>
      <c r="P432" s="104" t="s">
        <v>112</v>
      </c>
      <c r="Q432" s="150">
        <f t="shared" si="91"/>
        <v>1</v>
      </c>
      <c r="R432" s="148">
        <v>1</v>
      </c>
      <c r="S432" s="150">
        <f t="shared" si="92"/>
        <v>2</v>
      </c>
      <c r="T432" s="152" t="s">
        <v>48</v>
      </c>
    </row>
    <row r="433" spans="3:20" ht="20.25" customHeight="1">
      <c r="C433" s="96"/>
      <c r="D433" s="102">
        <f t="shared" si="87"/>
        <v>433</v>
      </c>
      <c r="E433" s="106" t="s">
        <v>428</v>
      </c>
      <c r="F433" s="108">
        <f t="shared" si="90"/>
        <v>432</v>
      </c>
      <c r="G433" s="105" t="s">
        <v>115</v>
      </c>
      <c r="H433" s="105"/>
      <c r="I433" s="104">
        <v>12</v>
      </c>
      <c r="J433" s="108" t="str">
        <f t="shared" ref="J433:J437" si="97">J432</f>
        <v>831 mm</v>
      </c>
      <c r="K433" s="118">
        <v>1</v>
      </c>
      <c r="L433" s="118" t="s">
        <v>81</v>
      </c>
      <c r="M433" s="128">
        <f t="shared" ref="M433:M436" si="98">LEFT(J433,SEARCH(" ",J433,1)-1)*K433*0.001</f>
        <v>0.83100000000000007</v>
      </c>
      <c r="N433" s="104" t="s">
        <v>139</v>
      </c>
      <c r="O433" s="162">
        <f>VLOOKUP(I433,BM!$B$3:$Y$62,12,FALSE)</f>
        <v>2.5</v>
      </c>
      <c r="P433" s="104" t="s">
        <v>112</v>
      </c>
      <c r="Q433" s="150">
        <f t="shared" si="91"/>
        <v>2.0775000000000001</v>
      </c>
      <c r="R433" s="148">
        <v>1</v>
      </c>
      <c r="S433" s="150">
        <f t="shared" si="92"/>
        <v>3.0775000000000001</v>
      </c>
      <c r="T433" s="149" t="str">
        <f>T432</f>
        <v>Hrs</v>
      </c>
    </row>
    <row r="434" spans="3:20" ht="20.25" customHeight="1">
      <c r="C434" s="96"/>
      <c r="D434" s="102">
        <f t="shared" si="87"/>
        <v>434</v>
      </c>
      <c r="E434" s="106" t="s">
        <v>429</v>
      </c>
      <c r="F434" s="108">
        <f t="shared" si="90"/>
        <v>433</v>
      </c>
      <c r="G434" s="105" t="s">
        <v>121</v>
      </c>
      <c r="H434" s="105"/>
      <c r="I434" s="104">
        <v>18</v>
      </c>
      <c r="J434" s="108" t="str">
        <f t="shared" si="97"/>
        <v>831 mm</v>
      </c>
      <c r="K434" s="118">
        <v>1</v>
      </c>
      <c r="L434" s="118" t="s">
        <v>81</v>
      </c>
      <c r="M434" s="128">
        <f t="shared" si="98"/>
        <v>0.83100000000000007</v>
      </c>
      <c r="N434" s="104" t="s">
        <v>139</v>
      </c>
      <c r="O434" s="162">
        <f>VLOOKUP(I434,BM!$B$3:$Y$62,18,FALSE)</f>
        <v>1</v>
      </c>
      <c r="P434" s="104" t="s">
        <v>112</v>
      </c>
      <c r="Q434" s="150">
        <f t="shared" si="91"/>
        <v>0.83100000000000007</v>
      </c>
      <c r="R434" s="148">
        <v>1</v>
      </c>
      <c r="S434" s="150">
        <f t="shared" si="92"/>
        <v>1.831</v>
      </c>
      <c r="T434" s="149" t="str">
        <f>T433</f>
        <v>Hrs</v>
      </c>
    </row>
    <row r="435" spans="3:20" ht="20.25" customHeight="1">
      <c r="C435" s="96"/>
      <c r="D435" s="102">
        <f t="shared" si="87"/>
        <v>435</v>
      </c>
      <c r="E435" s="106" t="s">
        <v>430</v>
      </c>
      <c r="F435" s="108">
        <f t="shared" si="90"/>
        <v>434</v>
      </c>
      <c r="G435" s="105" t="s">
        <v>115</v>
      </c>
      <c r="H435" s="105"/>
      <c r="I435" s="104">
        <v>6</v>
      </c>
      <c r="J435" s="108" t="str">
        <f t="shared" si="97"/>
        <v>831 mm</v>
      </c>
      <c r="K435" s="118">
        <v>1</v>
      </c>
      <c r="L435" s="118" t="s">
        <v>81</v>
      </c>
      <c r="M435" s="128">
        <f t="shared" si="98"/>
        <v>0.83100000000000007</v>
      </c>
      <c r="N435" s="104" t="s">
        <v>139</v>
      </c>
      <c r="O435" s="162">
        <f>VLOOKUP(I435,BM!$B$3:$Y$62,12,FALSE)</f>
        <v>0.9</v>
      </c>
      <c r="P435" s="104" t="s">
        <v>112</v>
      </c>
      <c r="Q435" s="150">
        <f t="shared" si="91"/>
        <v>0.74790000000000012</v>
      </c>
      <c r="R435" s="148">
        <v>1</v>
      </c>
      <c r="S435" s="150">
        <f t="shared" si="92"/>
        <v>1.7479</v>
      </c>
      <c r="T435" s="149" t="str">
        <f>T434</f>
        <v>Hrs</v>
      </c>
    </row>
    <row r="436" spans="3:20" ht="20.25" customHeight="1">
      <c r="C436" s="96"/>
      <c r="D436" s="102">
        <f t="shared" si="87"/>
        <v>436</v>
      </c>
      <c r="E436" s="106" t="s">
        <v>431</v>
      </c>
      <c r="F436" s="108">
        <f t="shared" si="90"/>
        <v>435</v>
      </c>
      <c r="G436" s="105" t="s">
        <v>61</v>
      </c>
      <c r="H436" s="105"/>
      <c r="I436" s="104">
        <v>6</v>
      </c>
      <c r="J436" s="108" t="str">
        <f t="shared" si="97"/>
        <v>831 mm</v>
      </c>
      <c r="K436" s="118">
        <v>1</v>
      </c>
      <c r="L436" s="118" t="s">
        <v>81</v>
      </c>
      <c r="M436" s="128">
        <f t="shared" si="98"/>
        <v>0.83100000000000007</v>
      </c>
      <c r="N436" s="104" t="s">
        <v>139</v>
      </c>
      <c r="O436" s="162">
        <f>VLOOKUP(I436,BM!$B$3:$Y$62,20,FALSE)</f>
        <v>0.5</v>
      </c>
      <c r="P436" s="104" t="s">
        <v>112</v>
      </c>
      <c r="Q436" s="150">
        <f t="shared" si="91"/>
        <v>0.41550000000000004</v>
      </c>
      <c r="R436" s="148">
        <v>1</v>
      </c>
      <c r="S436" s="150">
        <f t="shared" si="92"/>
        <v>1.4155</v>
      </c>
      <c r="T436" s="149" t="str">
        <f>T435</f>
        <v>Hrs</v>
      </c>
    </row>
    <row r="437" spans="3:20" ht="20.25" customHeight="1">
      <c r="C437" s="96"/>
      <c r="D437" s="102">
        <f t="shared" si="87"/>
        <v>437</v>
      </c>
      <c r="E437" s="106" t="s">
        <v>432</v>
      </c>
      <c r="F437" s="108">
        <f t="shared" si="90"/>
        <v>436</v>
      </c>
      <c r="G437" s="105" t="s">
        <v>286</v>
      </c>
      <c r="H437" s="105"/>
      <c r="I437" s="104">
        <v>18</v>
      </c>
      <c r="J437" s="108" t="str">
        <f t="shared" si="97"/>
        <v>831 mm</v>
      </c>
      <c r="K437" s="118">
        <v>1</v>
      </c>
      <c r="L437" s="118" t="s">
        <v>81</v>
      </c>
      <c r="M437" s="119">
        <v>1</v>
      </c>
      <c r="N437" s="132" t="s">
        <v>81</v>
      </c>
      <c r="O437" s="120">
        <v>3</v>
      </c>
      <c r="P437" s="104" t="s">
        <v>112</v>
      </c>
      <c r="Q437" s="150">
        <f t="shared" si="91"/>
        <v>3</v>
      </c>
      <c r="R437" s="148">
        <v>1</v>
      </c>
      <c r="S437" s="150">
        <f t="shared" si="92"/>
        <v>4</v>
      </c>
      <c r="T437" s="149" t="str">
        <f>T436</f>
        <v>Hrs</v>
      </c>
    </row>
    <row r="438" spans="3:20" ht="20.25" customHeight="1">
      <c r="C438" s="96">
        <f>D438</f>
        <v>438</v>
      </c>
      <c r="D438" s="102">
        <f t="shared" si="87"/>
        <v>438</v>
      </c>
      <c r="E438" s="103" t="s">
        <v>433</v>
      </c>
      <c r="F438" s="108">
        <f>D431</f>
        <v>431</v>
      </c>
      <c r="G438" s="105"/>
      <c r="H438" s="105"/>
      <c r="I438" s="104"/>
      <c r="J438" s="104"/>
      <c r="K438" s="118"/>
      <c r="L438" s="118"/>
      <c r="M438" s="119"/>
      <c r="N438" s="104"/>
      <c r="O438" s="120"/>
      <c r="P438" s="104"/>
      <c r="Q438" s="150"/>
      <c r="R438" s="148"/>
      <c r="S438" s="150"/>
      <c r="T438" s="149"/>
    </row>
    <row r="439" spans="3:20" ht="20.25" customHeight="1">
      <c r="C439" s="96"/>
      <c r="D439" s="102">
        <f t="shared" si="87"/>
        <v>439</v>
      </c>
      <c r="E439" s="106" t="s">
        <v>434</v>
      </c>
      <c r="F439" s="108">
        <f t="shared" si="90"/>
        <v>438</v>
      </c>
      <c r="G439" s="105" t="s">
        <v>312</v>
      </c>
      <c r="H439" s="105"/>
      <c r="I439" s="104">
        <v>18</v>
      </c>
      <c r="J439" s="108" t="str">
        <f>J437</f>
        <v>831 mm</v>
      </c>
      <c r="K439" s="118">
        <v>1</v>
      </c>
      <c r="L439" s="141" t="s">
        <v>39</v>
      </c>
      <c r="M439" s="119">
        <v>1</v>
      </c>
      <c r="N439" s="132" t="s">
        <v>39</v>
      </c>
      <c r="O439" s="120">
        <v>1</v>
      </c>
      <c r="P439" s="104" t="s">
        <v>435</v>
      </c>
      <c r="Q439" s="150">
        <f t="shared" si="91"/>
        <v>1</v>
      </c>
      <c r="R439" s="148"/>
      <c r="S439" s="150">
        <f t="shared" si="92"/>
        <v>1</v>
      </c>
      <c r="T439" s="152" t="s">
        <v>41</v>
      </c>
    </row>
    <row r="440" spans="3:20" ht="20.25" customHeight="1">
      <c r="C440" s="96">
        <f>D440</f>
        <v>440</v>
      </c>
      <c r="D440" s="102">
        <f t="shared" si="87"/>
        <v>440</v>
      </c>
      <c r="E440" s="103" t="s">
        <v>436</v>
      </c>
      <c r="F440" s="108">
        <f>D438</f>
        <v>438</v>
      </c>
      <c r="G440" s="105"/>
      <c r="H440" s="105"/>
      <c r="I440" s="104"/>
      <c r="J440" s="104"/>
      <c r="K440" s="118"/>
      <c r="L440" s="118"/>
      <c r="M440" s="119"/>
      <c r="N440" s="104"/>
      <c r="O440" s="120"/>
      <c r="P440" s="104"/>
      <c r="Q440" s="150"/>
      <c r="R440" s="148"/>
      <c r="S440" s="150"/>
      <c r="T440" s="149"/>
    </row>
    <row r="441" spans="3:20" ht="20.25" customHeight="1">
      <c r="C441" s="96"/>
      <c r="D441" s="102">
        <f t="shared" si="87"/>
        <v>441</v>
      </c>
      <c r="E441" s="106" t="s">
        <v>437</v>
      </c>
      <c r="F441" s="108">
        <f t="shared" si="90"/>
        <v>440</v>
      </c>
      <c r="G441" s="105" t="s">
        <v>348</v>
      </c>
      <c r="H441" s="105"/>
      <c r="I441" s="108">
        <f>I439</f>
        <v>18</v>
      </c>
      <c r="J441" s="112" t="s">
        <v>317</v>
      </c>
      <c r="K441" s="118">
        <v>1</v>
      </c>
      <c r="L441" s="118" t="s">
        <v>81</v>
      </c>
      <c r="M441" s="128">
        <f>LEFT(J441,SEARCH(" ",J441,1)-1)*K441*3.142*0.001*2</f>
        <v>9.8030399999999993</v>
      </c>
      <c r="N441" s="104" t="s">
        <v>139</v>
      </c>
      <c r="O441" s="162">
        <f>VLOOKUP(I441,BM!$B$3:$Y$62,13,FALSE)</f>
        <v>0.45</v>
      </c>
      <c r="P441" s="104" t="s">
        <v>112</v>
      </c>
      <c r="Q441" s="150">
        <f t="shared" si="91"/>
        <v>4.4113679999999995</v>
      </c>
      <c r="R441" s="148">
        <v>1</v>
      </c>
      <c r="S441" s="150">
        <f t="shared" si="92"/>
        <v>5.4113679999999995</v>
      </c>
      <c r="T441" s="152" t="s">
        <v>162</v>
      </c>
    </row>
    <row r="442" spans="3:20" ht="20.25" customHeight="1">
      <c r="C442" s="96"/>
      <c r="D442" s="102">
        <f t="shared" si="87"/>
        <v>442</v>
      </c>
      <c r="E442" s="106" t="s">
        <v>438</v>
      </c>
      <c r="F442" s="108">
        <f t="shared" si="90"/>
        <v>441</v>
      </c>
      <c r="G442" s="105" t="s">
        <v>111</v>
      </c>
      <c r="H442" s="105"/>
      <c r="I442" s="104">
        <v>18</v>
      </c>
      <c r="J442" s="104" t="str">
        <f>J441</f>
        <v>1560 mm id</v>
      </c>
      <c r="K442" s="118">
        <v>1</v>
      </c>
      <c r="L442" s="118" t="s">
        <v>81</v>
      </c>
      <c r="M442" s="128">
        <f>LEFT(J442,SEARCH(" ",J442,1)-1)*K442*3.142*0.001</f>
        <v>4.9015199999999997</v>
      </c>
      <c r="N442" s="104" t="s">
        <v>139</v>
      </c>
      <c r="O442" s="162">
        <f>VLOOKUP(I442,BM!$B$3:$Y$62,16,FALSE)</f>
        <v>1</v>
      </c>
      <c r="P442" s="104" t="s">
        <v>112</v>
      </c>
      <c r="Q442" s="150">
        <f t="shared" si="91"/>
        <v>4.9015199999999997</v>
      </c>
      <c r="R442" s="148">
        <v>1</v>
      </c>
      <c r="S442" s="150">
        <f t="shared" si="92"/>
        <v>5.9015199999999997</v>
      </c>
      <c r="T442" s="152" t="s">
        <v>162</v>
      </c>
    </row>
    <row r="443" spans="3:20" ht="20.25" customHeight="1">
      <c r="C443" s="96"/>
      <c r="D443" s="102">
        <f t="shared" si="87"/>
        <v>443</v>
      </c>
      <c r="E443" s="106" t="s">
        <v>439</v>
      </c>
      <c r="F443" s="108">
        <f t="shared" si="90"/>
        <v>442</v>
      </c>
      <c r="G443" s="105" t="s">
        <v>44</v>
      </c>
      <c r="H443" s="105"/>
      <c r="I443" s="104">
        <v>18</v>
      </c>
      <c r="J443" s="104" t="str">
        <f>J442</f>
        <v>1560 mm id</v>
      </c>
      <c r="K443" s="118">
        <v>1</v>
      </c>
      <c r="L443" s="118" t="s">
        <v>81</v>
      </c>
      <c r="M443" s="119">
        <v>1</v>
      </c>
      <c r="N443" s="104" t="s">
        <v>139</v>
      </c>
      <c r="O443" s="120">
        <v>4</v>
      </c>
      <c r="P443" s="104" t="s">
        <v>112</v>
      </c>
      <c r="Q443" s="150">
        <f t="shared" si="91"/>
        <v>4</v>
      </c>
      <c r="R443" s="148">
        <v>1</v>
      </c>
      <c r="S443" s="150">
        <f t="shared" si="92"/>
        <v>5</v>
      </c>
      <c r="T443" s="152" t="s">
        <v>162</v>
      </c>
    </row>
    <row r="444" spans="3:20" ht="20.25" customHeight="1">
      <c r="C444" s="96">
        <f>D444</f>
        <v>444</v>
      </c>
      <c r="D444" s="102">
        <f t="shared" si="87"/>
        <v>444</v>
      </c>
      <c r="E444" s="103" t="s">
        <v>440</v>
      </c>
      <c r="F444" s="108">
        <f>D440</f>
        <v>440</v>
      </c>
      <c r="G444" s="105"/>
      <c r="H444" s="105"/>
      <c r="I444" s="104"/>
      <c r="J444" s="104"/>
      <c r="K444" s="118"/>
      <c r="L444" s="118"/>
      <c r="M444" s="119"/>
      <c r="N444" s="104"/>
      <c r="O444" s="120"/>
      <c r="P444" s="104"/>
      <c r="Q444" s="150"/>
      <c r="R444" s="148"/>
      <c r="S444" s="150"/>
      <c r="T444" s="149"/>
    </row>
    <row r="445" spans="3:20" ht="20.25" customHeight="1">
      <c r="C445" s="96"/>
      <c r="D445" s="102">
        <f t="shared" si="87"/>
        <v>445</v>
      </c>
      <c r="E445" s="106" t="s">
        <v>441</v>
      </c>
      <c r="F445" s="108">
        <f t="shared" si="90"/>
        <v>444</v>
      </c>
      <c r="G445" s="105" t="s">
        <v>201</v>
      </c>
      <c r="H445" s="105"/>
      <c r="I445" s="104">
        <v>18</v>
      </c>
      <c r="J445" s="104" t="str">
        <f>J443</f>
        <v>1560 mm id</v>
      </c>
      <c r="K445" s="118">
        <v>1</v>
      </c>
      <c r="L445" s="118" t="s">
        <v>81</v>
      </c>
      <c r="M445" s="119">
        <v>1</v>
      </c>
      <c r="N445" s="132" t="s">
        <v>39</v>
      </c>
      <c r="O445" s="120">
        <v>1</v>
      </c>
      <c r="P445" s="104" t="s">
        <v>112</v>
      </c>
      <c r="Q445" s="150">
        <f t="shared" si="91"/>
        <v>1</v>
      </c>
      <c r="R445" s="148">
        <v>1</v>
      </c>
      <c r="S445" s="150">
        <f t="shared" si="92"/>
        <v>2</v>
      </c>
      <c r="T445" s="152" t="s">
        <v>162</v>
      </c>
    </row>
    <row r="446" spans="3:20" ht="20.25" customHeight="1">
      <c r="C446" s="96"/>
      <c r="D446" s="102">
        <f t="shared" si="87"/>
        <v>446</v>
      </c>
      <c r="E446" s="106" t="s">
        <v>442</v>
      </c>
      <c r="F446" s="108">
        <f t="shared" si="90"/>
        <v>445</v>
      </c>
      <c r="G446" s="105" t="s">
        <v>115</v>
      </c>
      <c r="H446" s="105"/>
      <c r="I446" s="104">
        <v>12</v>
      </c>
      <c r="J446" s="104" t="str">
        <f>J445</f>
        <v>1560 mm id</v>
      </c>
      <c r="K446" s="118">
        <v>1</v>
      </c>
      <c r="L446" s="118" t="s">
        <v>81</v>
      </c>
      <c r="M446" s="128">
        <f t="shared" ref="M446:M454" si="99">LEFT(J446,SEARCH(" ",J446,1)-1)*K446*3.142*0.001</f>
        <v>4.9015199999999997</v>
      </c>
      <c r="N446" s="104" t="s">
        <v>249</v>
      </c>
      <c r="O446" s="162">
        <f>VLOOKUP(I446,BM!$B$3:$Y$62,17,FALSE)</f>
        <v>2.5</v>
      </c>
      <c r="P446" s="104" t="s">
        <v>112</v>
      </c>
      <c r="Q446" s="150">
        <f t="shared" si="91"/>
        <v>12.253799999999998</v>
      </c>
      <c r="R446" s="148">
        <v>1</v>
      </c>
      <c r="S446" s="150">
        <f t="shared" si="92"/>
        <v>13.253799999999998</v>
      </c>
      <c r="T446" s="152" t="s">
        <v>112</v>
      </c>
    </row>
    <row r="447" spans="3:20" ht="20.25" customHeight="1">
      <c r="C447" s="96"/>
      <c r="D447" s="102">
        <f t="shared" si="87"/>
        <v>447</v>
      </c>
      <c r="E447" s="106" t="s">
        <v>443</v>
      </c>
      <c r="F447" s="108">
        <f t="shared" si="90"/>
        <v>446</v>
      </c>
      <c r="G447" s="105" t="s">
        <v>61</v>
      </c>
      <c r="H447" s="105"/>
      <c r="I447" s="104">
        <v>18</v>
      </c>
      <c r="J447" s="104" t="str">
        <f>J446</f>
        <v>1560 mm id</v>
      </c>
      <c r="K447" s="118">
        <v>1</v>
      </c>
      <c r="L447" s="118" t="s">
        <v>81</v>
      </c>
      <c r="M447" s="128">
        <f t="shared" si="99"/>
        <v>4.9015199999999997</v>
      </c>
      <c r="N447" s="104" t="s">
        <v>249</v>
      </c>
      <c r="O447" s="162">
        <f>VLOOKUP(I447,BM!$B$3:$Y$62,18,FALSE)</f>
        <v>1</v>
      </c>
      <c r="P447" s="104" t="s">
        <v>112</v>
      </c>
      <c r="Q447" s="150">
        <f t="shared" si="91"/>
        <v>4.9015199999999997</v>
      </c>
      <c r="R447" s="148">
        <v>1</v>
      </c>
      <c r="S447" s="150">
        <f t="shared" si="92"/>
        <v>5.9015199999999997</v>
      </c>
      <c r="T447" s="152" t="s">
        <v>112</v>
      </c>
    </row>
    <row r="448" spans="3:20" ht="20.25" customHeight="1">
      <c r="C448" s="96"/>
      <c r="D448" s="102">
        <f t="shared" si="87"/>
        <v>448</v>
      </c>
      <c r="E448" s="106" t="s">
        <v>444</v>
      </c>
      <c r="F448" s="108">
        <f t="shared" si="90"/>
        <v>447</v>
      </c>
      <c r="G448" s="105" t="s">
        <v>115</v>
      </c>
      <c r="H448" s="105"/>
      <c r="I448" s="104">
        <v>8</v>
      </c>
      <c r="J448" s="104" t="str">
        <f>J447</f>
        <v>1560 mm id</v>
      </c>
      <c r="K448" s="118">
        <v>1</v>
      </c>
      <c r="L448" s="118" t="s">
        <v>81</v>
      </c>
      <c r="M448" s="128">
        <f t="shared" si="99"/>
        <v>4.9015199999999997</v>
      </c>
      <c r="N448" s="104" t="s">
        <v>249</v>
      </c>
      <c r="O448" s="162">
        <f>VLOOKUP(I448,BM!$B$3:$Y$62,17,FALSE)</f>
        <v>1.36</v>
      </c>
      <c r="P448" s="104" t="s">
        <v>112</v>
      </c>
      <c r="Q448" s="150">
        <f t="shared" si="91"/>
        <v>6.6660671999999996</v>
      </c>
      <c r="R448" s="148">
        <v>1</v>
      </c>
      <c r="S448" s="150">
        <f t="shared" si="92"/>
        <v>7.6660671999999996</v>
      </c>
      <c r="T448" s="152" t="s">
        <v>112</v>
      </c>
    </row>
    <row r="449" spans="3:20" ht="20.25" customHeight="1">
      <c r="C449" s="96"/>
      <c r="D449" s="102">
        <f t="shared" si="87"/>
        <v>449</v>
      </c>
      <c r="E449" s="106" t="s">
        <v>445</v>
      </c>
      <c r="F449" s="108">
        <f t="shared" si="90"/>
        <v>448</v>
      </c>
      <c r="G449" s="105" t="s">
        <v>61</v>
      </c>
      <c r="H449" s="105"/>
      <c r="I449" s="104">
        <v>18</v>
      </c>
      <c r="J449" s="104" t="str">
        <f>J448</f>
        <v>1560 mm id</v>
      </c>
      <c r="K449" s="118">
        <v>1</v>
      </c>
      <c r="L449" s="118" t="s">
        <v>81</v>
      </c>
      <c r="M449" s="128">
        <f t="shared" si="99"/>
        <v>4.9015199999999997</v>
      </c>
      <c r="N449" s="104" t="s">
        <v>249</v>
      </c>
      <c r="O449" s="162">
        <f>VLOOKUP(I449,BM!$B$3:$Y$62,20,FALSE)</f>
        <v>0.5</v>
      </c>
      <c r="P449" s="104" t="s">
        <v>112</v>
      </c>
      <c r="Q449" s="150">
        <f t="shared" si="91"/>
        <v>2.4507599999999998</v>
      </c>
      <c r="R449" s="148">
        <v>1</v>
      </c>
      <c r="S449" s="150">
        <f t="shared" si="92"/>
        <v>3.4507599999999998</v>
      </c>
      <c r="T449" s="152" t="s">
        <v>112</v>
      </c>
    </row>
    <row r="450" spans="3:20" ht="20.25" customHeight="1">
      <c r="C450" s="96">
        <f>D450</f>
        <v>450</v>
      </c>
      <c r="D450" s="102">
        <f t="shared" si="87"/>
        <v>450</v>
      </c>
      <c r="E450" s="103" t="s">
        <v>446</v>
      </c>
      <c r="F450" s="108">
        <f>D444</f>
        <v>444</v>
      </c>
      <c r="G450" s="105"/>
      <c r="H450" s="105"/>
      <c r="I450" s="104"/>
      <c r="J450" s="104"/>
      <c r="K450" s="118"/>
      <c r="L450" s="118"/>
      <c r="M450" s="119"/>
      <c r="N450" s="104"/>
      <c r="O450" s="120"/>
      <c r="P450" s="104"/>
      <c r="Q450" s="150"/>
      <c r="R450" s="148"/>
      <c r="S450" s="150"/>
      <c r="T450" s="149"/>
    </row>
    <row r="451" spans="3:20" ht="20.25" customHeight="1">
      <c r="C451" s="96"/>
      <c r="D451" s="102">
        <f t="shared" ref="D451:D514" si="100">D450+1</f>
        <v>451</v>
      </c>
      <c r="E451" s="106" t="s">
        <v>447</v>
      </c>
      <c r="F451" s="108">
        <f t="shared" si="90"/>
        <v>450</v>
      </c>
      <c r="G451" s="105" t="s">
        <v>52</v>
      </c>
      <c r="H451" s="105"/>
      <c r="I451" s="104">
        <f>I445</f>
        <v>18</v>
      </c>
      <c r="J451" s="104" t="str">
        <f>J449</f>
        <v>1560 mm id</v>
      </c>
      <c r="K451" s="118">
        <v>1</v>
      </c>
      <c r="L451" s="118" t="s">
        <v>81</v>
      </c>
      <c r="M451" s="128">
        <f t="shared" si="99"/>
        <v>4.9015199999999997</v>
      </c>
      <c r="N451" s="104" t="s">
        <v>139</v>
      </c>
      <c r="O451" s="162">
        <f>VLOOKUP(I451,BM!$B$3:$Y$62,14,FALSE)</f>
        <v>0.5</v>
      </c>
      <c r="P451" s="104" t="s">
        <v>112</v>
      </c>
      <c r="Q451" s="150">
        <f t="shared" si="91"/>
        <v>2.4507599999999998</v>
      </c>
      <c r="R451" s="148">
        <v>1</v>
      </c>
      <c r="S451" s="150">
        <f t="shared" si="92"/>
        <v>3.4507599999999998</v>
      </c>
      <c r="T451" s="152" t="s">
        <v>112</v>
      </c>
    </row>
    <row r="452" spans="3:20" ht="20.25" customHeight="1">
      <c r="C452" s="96"/>
      <c r="D452" s="102">
        <f t="shared" si="100"/>
        <v>452</v>
      </c>
      <c r="E452" s="106" t="s">
        <v>437</v>
      </c>
      <c r="F452" s="108">
        <f t="shared" si="90"/>
        <v>451</v>
      </c>
      <c r="G452" s="105" t="s">
        <v>44</v>
      </c>
      <c r="H452" s="105"/>
      <c r="I452" s="104">
        <f>I446</f>
        <v>12</v>
      </c>
      <c r="J452" s="104" t="str">
        <f>J451</f>
        <v>1560 mm id</v>
      </c>
      <c r="K452" s="118">
        <v>1</v>
      </c>
      <c r="L452" s="118" t="s">
        <v>81</v>
      </c>
      <c r="M452" s="128">
        <f t="shared" si="99"/>
        <v>4.9015199999999997</v>
      </c>
      <c r="N452" s="104" t="s">
        <v>139</v>
      </c>
      <c r="O452" s="162">
        <f>VLOOKUP(I452,BM!$B$3:$Y$62,15,FALSE)</f>
        <v>1</v>
      </c>
      <c r="P452" s="104" t="s">
        <v>112</v>
      </c>
      <c r="Q452" s="150">
        <f t="shared" si="91"/>
        <v>4.9015199999999997</v>
      </c>
      <c r="R452" s="148">
        <v>1</v>
      </c>
      <c r="S452" s="150">
        <f t="shared" si="92"/>
        <v>5.9015199999999997</v>
      </c>
      <c r="T452" s="152" t="s">
        <v>112</v>
      </c>
    </row>
    <row r="453" spans="3:20" ht="20.25" customHeight="1">
      <c r="C453" s="96"/>
      <c r="D453" s="102">
        <f t="shared" si="100"/>
        <v>453</v>
      </c>
      <c r="E453" s="106" t="s">
        <v>448</v>
      </c>
      <c r="F453" s="108">
        <f t="shared" si="90"/>
        <v>452</v>
      </c>
      <c r="G453" s="105" t="s">
        <v>111</v>
      </c>
      <c r="H453" s="105"/>
      <c r="I453" s="104">
        <f>I448</f>
        <v>8</v>
      </c>
      <c r="J453" s="104" t="str">
        <f>J452</f>
        <v>1560 mm id</v>
      </c>
      <c r="K453" s="118">
        <v>1</v>
      </c>
      <c r="L453" s="118" t="s">
        <v>81</v>
      </c>
      <c r="M453" s="128">
        <f t="shared" si="99"/>
        <v>4.9015199999999997</v>
      </c>
      <c r="N453" s="104" t="s">
        <v>139</v>
      </c>
      <c r="O453" s="120">
        <v>4</v>
      </c>
      <c r="P453" s="104" t="s">
        <v>112</v>
      </c>
      <c r="Q453" s="150">
        <f t="shared" si="91"/>
        <v>19.606079999999999</v>
      </c>
      <c r="R453" s="148">
        <v>1</v>
      </c>
      <c r="S453" s="150">
        <f t="shared" si="92"/>
        <v>20.606079999999999</v>
      </c>
      <c r="T453" s="152" t="s">
        <v>112</v>
      </c>
    </row>
    <row r="454" spans="3:20" ht="20.25" customHeight="1">
      <c r="C454" s="96"/>
      <c r="D454" s="102">
        <f t="shared" si="100"/>
        <v>454</v>
      </c>
      <c r="E454" s="106" t="s">
        <v>439</v>
      </c>
      <c r="F454" s="108">
        <f t="shared" si="90"/>
        <v>453</v>
      </c>
      <c r="G454" s="105" t="s">
        <v>63</v>
      </c>
      <c r="H454" s="105"/>
      <c r="I454" s="104">
        <v>18</v>
      </c>
      <c r="J454" s="104" t="str">
        <f>J453</f>
        <v>1560 mm id</v>
      </c>
      <c r="K454" s="118">
        <v>1</v>
      </c>
      <c r="L454" s="118" t="s">
        <v>81</v>
      </c>
      <c r="M454" s="128">
        <f t="shared" si="99"/>
        <v>4.9015199999999997</v>
      </c>
      <c r="N454" s="104" t="s">
        <v>139</v>
      </c>
      <c r="O454" s="120">
        <v>0.5</v>
      </c>
      <c r="P454" s="104" t="s">
        <v>112</v>
      </c>
      <c r="Q454" s="150">
        <f t="shared" si="91"/>
        <v>2.4507599999999998</v>
      </c>
      <c r="R454" s="148">
        <v>1</v>
      </c>
      <c r="S454" s="150">
        <f t="shared" si="92"/>
        <v>3.4507599999999998</v>
      </c>
      <c r="T454" s="152" t="s">
        <v>112</v>
      </c>
    </row>
    <row r="455" spans="3:20" ht="20.25" customHeight="1">
      <c r="C455" s="96">
        <f>D455</f>
        <v>455</v>
      </c>
      <c r="D455" s="102">
        <f t="shared" si="100"/>
        <v>455</v>
      </c>
      <c r="E455" s="103" t="s">
        <v>449</v>
      </c>
      <c r="F455" s="108">
        <f>D450</f>
        <v>450</v>
      </c>
      <c r="G455" s="104"/>
      <c r="H455" s="104"/>
      <c r="I455" s="104"/>
      <c r="J455" s="104"/>
      <c r="K455" s="118"/>
      <c r="L455" s="118"/>
      <c r="M455" s="119"/>
      <c r="N455" s="104"/>
      <c r="O455" s="120"/>
      <c r="P455" s="104"/>
      <c r="Q455" s="150"/>
      <c r="R455" s="148"/>
      <c r="S455" s="150"/>
      <c r="T455" s="149"/>
    </row>
    <row r="456" spans="3:20" ht="20.25" customHeight="1">
      <c r="C456" s="96"/>
      <c r="D456" s="102">
        <f t="shared" si="100"/>
        <v>456</v>
      </c>
      <c r="E456" s="106" t="s">
        <v>450</v>
      </c>
      <c r="F456" s="108">
        <f t="shared" si="90"/>
        <v>455</v>
      </c>
      <c r="G456" s="105" t="s">
        <v>201</v>
      </c>
      <c r="H456" s="105"/>
      <c r="I456" s="104">
        <v>12</v>
      </c>
      <c r="J456" s="104" t="str">
        <f>J454</f>
        <v>1560 mm id</v>
      </c>
      <c r="K456" s="118">
        <v>1</v>
      </c>
      <c r="L456" s="118" t="s">
        <v>81</v>
      </c>
      <c r="M456" s="119">
        <v>1</v>
      </c>
      <c r="N456" s="104" t="s">
        <v>249</v>
      </c>
      <c r="O456" s="120">
        <v>1</v>
      </c>
      <c r="P456" s="104" t="s">
        <v>112</v>
      </c>
      <c r="Q456" s="150">
        <f t="shared" si="91"/>
        <v>1</v>
      </c>
      <c r="R456" s="148">
        <v>1</v>
      </c>
      <c r="S456" s="150">
        <f t="shared" si="92"/>
        <v>2</v>
      </c>
      <c r="T456" s="152" t="s">
        <v>112</v>
      </c>
    </row>
    <row r="457" spans="3:20" ht="20.25" customHeight="1">
      <c r="C457" s="96"/>
      <c r="D457" s="102">
        <f t="shared" si="100"/>
        <v>457</v>
      </c>
      <c r="E457" s="106" t="s">
        <v>451</v>
      </c>
      <c r="F457" s="108">
        <f t="shared" si="90"/>
        <v>456</v>
      </c>
      <c r="G457" s="105" t="s">
        <v>115</v>
      </c>
      <c r="H457" s="105"/>
      <c r="I457" s="104">
        <v>12</v>
      </c>
      <c r="J457" s="104" t="str">
        <f>J456</f>
        <v>1560 mm id</v>
      </c>
      <c r="K457" s="118">
        <v>1</v>
      </c>
      <c r="L457" s="118" t="s">
        <v>81</v>
      </c>
      <c r="M457" s="128">
        <f t="shared" ref="M457:M460" si="101">LEFT(J457,SEARCH(" ",J457,1)-1)*K457*3.142*0.001</f>
        <v>4.9015199999999997</v>
      </c>
      <c r="N457" s="104" t="s">
        <v>249</v>
      </c>
      <c r="O457" s="162">
        <f>VLOOKUP(I457,BM!$B$3:$Y$62,17,FALSE)</f>
        <v>2.5</v>
      </c>
      <c r="P457" s="104" t="s">
        <v>112</v>
      </c>
      <c r="Q457" s="150">
        <f t="shared" si="91"/>
        <v>12.253799999999998</v>
      </c>
      <c r="R457" s="148">
        <v>1</v>
      </c>
      <c r="S457" s="150">
        <f t="shared" si="92"/>
        <v>13.253799999999998</v>
      </c>
      <c r="T457" s="152" t="s">
        <v>112</v>
      </c>
    </row>
    <row r="458" spans="3:20" ht="20.25" customHeight="1">
      <c r="C458" s="96"/>
      <c r="D458" s="102">
        <f t="shared" si="100"/>
        <v>458</v>
      </c>
      <c r="E458" s="106" t="s">
        <v>452</v>
      </c>
      <c r="F458" s="108">
        <f t="shared" si="90"/>
        <v>457</v>
      </c>
      <c r="G458" s="105" t="s">
        <v>61</v>
      </c>
      <c r="H458" s="105"/>
      <c r="I458" s="104">
        <v>18</v>
      </c>
      <c r="J458" s="104" t="str">
        <f>J457</f>
        <v>1560 mm id</v>
      </c>
      <c r="K458" s="118">
        <v>1</v>
      </c>
      <c r="L458" s="118" t="s">
        <v>81</v>
      </c>
      <c r="M458" s="128">
        <f t="shared" si="101"/>
        <v>4.9015199999999997</v>
      </c>
      <c r="N458" s="104" t="s">
        <v>249</v>
      </c>
      <c r="O458" s="162">
        <f>VLOOKUP(I458,BM!$B$3:$Y$62,18,FALSE)</f>
        <v>1</v>
      </c>
      <c r="P458" s="104" t="s">
        <v>112</v>
      </c>
      <c r="Q458" s="150">
        <f t="shared" si="91"/>
        <v>4.9015199999999997</v>
      </c>
      <c r="R458" s="148">
        <v>1</v>
      </c>
      <c r="S458" s="150">
        <f t="shared" si="92"/>
        <v>5.9015199999999997</v>
      </c>
      <c r="T458" s="152" t="s">
        <v>112</v>
      </c>
    </row>
    <row r="459" spans="3:20" ht="20.25" customHeight="1">
      <c r="C459" s="96"/>
      <c r="D459" s="102">
        <f t="shared" si="100"/>
        <v>459</v>
      </c>
      <c r="E459" s="106" t="s">
        <v>453</v>
      </c>
      <c r="F459" s="108">
        <f t="shared" si="90"/>
        <v>458</v>
      </c>
      <c r="G459" s="105" t="s">
        <v>115</v>
      </c>
      <c r="H459" s="105"/>
      <c r="I459" s="104">
        <v>6</v>
      </c>
      <c r="J459" s="104" t="str">
        <f>J458</f>
        <v>1560 mm id</v>
      </c>
      <c r="K459" s="118">
        <v>1</v>
      </c>
      <c r="L459" s="118" t="s">
        <v>81</v>
      </c>
      <c r="M459" s="128">
        <f t="shared" si="101"/>
        <v>4.9015199999999997</v>
      </c>
      <c r="N459" s="104" t="s">
        <v>249</v>
      </c>
      <c r="O459" s="162">
        <f>VLOOKUP(I459,BM!$B$3:$Y$62,17,FALSE)</f>
        <v>0.9</v>
      </c>
      <c r="P459" s="104" t="s">
        <v>112</v>
      </c>
      <c r="Q459" s="150">
        <f t="shared" si="91"/>
        <v>4.4113679999999995</v>
      </c>
      <c r="R459" s="148">
        <v>1</v>
      </c>
      <c r="S459" s="150">
        <f t="shared" si="92"/>
        <v>5.4113679999999995</v>
      </c>
      <c r="T459" s="152" t="s">
        <v>112</v>
      </c>
    </row>
    <row r="460" spans="3:20" ht="20.25" customHeight="1">
      <c r="C460" s="96"/>
      <c r="D460" s="102">
        <f t="shared" si="100"/>
        <v>460</v>
      </c>
      <c r="E460" s="106" t="s">
        <v>454</v>
      </c>
      <c r="F460" s="108">
        <f t="shared" si="90"/>
        <v>459</v>
      </c>
      <c r="G460" s="105" t="s">
        <v>61</v>
      </c>
      <c r="H460" s="105"/>
      <c r="I460" s="104">
        <v>18</v>
      </c>
      <c r="J460" s="104" t="str">
        <f>J459</f>
        <v>1560 mm id</v>
      </c>
      <c r="K460" s="118">
        <v>1</v>
      </c>
      <c r="L460" s="118" t="s">
        <v>81</v>
      </c>
      <c r="M460" s="128">
        <f t="shared" si="101"/>
        <v>4.9015199999999997</v>
      </c>
      <c r="N460" s="104" t="s">
        <v>249</v>
      </c>
      <c r="O460" s="162">
        <f>VLOOKUP(I460,BM!$B$3:$Y$62,20,FALSE)</f>
        <v>0.5</v>
      </c>
      <c r="P460" s="104" t="s">
        <v>112</v>
      </c>
      <c r="Q460" s="150">
        <f t="shared" si="91"/>
        <v>2.4507599999999998</v>
      </c>
      <c r="R460" s="148">
        <v>1</v>
      </c>
      <c r="S460" s="150">
        <f t="shared" si="92"/>
        <v>3.4507599999999998</v>
      </c>
      <c r="T460" s="152" t="s">
        <v>112</v>
      </c>
    </row>
    <row r="461" spans="3:20" ht="20.25" customHeight="1">
      <c r="C461" s="96">
        <f>D461</f>
        <v>461</v>
      </c>
      <c r="D461" s="102">
        <f t="shared" si="100"/>
        <v>461</v>
      </c>
      <c r="E461" s="103" t="s">
        <v>455</v>
      </c>
      <c r="F461" s="108">
        <f>D455</f>
        <v>455</v>
      </c>
      <c r="G461" s="105"/>
      <c r="H461" s="105"/>
      <c r="I461" s="104"/>
      <c r="J461" s="104"/>
      <c r="K461" s="118"/>
      <c r="L461" s="118"/>
      <c r="M461" s="119"/>
      <c r="N461" s="104"/>
      <c r="O461" s="120"/>
      <c r="P461" s="104"/>
      <c r="Q461" s="150"/>
      <c r="R461" s="148"/>
      <c r="S461" s="150"/>
      <c r="T461" s="149"/>
    </row>
    <row r="462" spans="3:20" ht="20.25" customHeight="1">
      <c r="C462" s="96"/>
      <c r="D462" s="102">
        <f t="shared" si="100"/>
        <v>462</v>
      </c>
      <c r="E462" s="106" t="s">
        <v>456</v>
      </c>
      <c r="F462" s="108">
        <f t="shared" si="90"/>
        <v>461</v>
      </c>
      <c r="G462" s="105" t="s">
        <v>312</v>
      </c>
      <c r="H462" s="105"/>
      <c r="I462" s="104">
        <v>18</v>
      </c>
      <c r="J462" s="104" t="str">
        <f>J460</f>
        <v>1560 mm id</v>
      </c>
      <c r="K462" s="118">
        <v>1</v>
      </c>
      <c r="L462" s="118" t="s">
        <v>39</v>
      </c>
      <c r="M462" s="119">
        <v>1</v>
      </c>
      <c r="N462" s="104" t="s">
        <v>457</v>
      </c>
      <c r="O462" s="120">
        <v>1</v>
      </c>
      <c r="P462" s="104" t="s">
        <v>41</v>
      </c>
      <c r="Q462" s="150">
        <f t="shared" si="91"/>
        <v>1</v>
      </c>
      <c r="R462" s="148"/>
      <c r="S462" s="150">
        <f t="shared" si="92"/>
        <v>1</v>
      </c>
      <c r="T462" s="152" t="s">
        <v>41</v>
      </c>
    </row>
    <row r="463" spans="3:20" ht="20.25" customHeight="1">
      <c r="C463" s="96">
        <f>D463</f>
        <v>463</v>
      </c>
      <c r="D463" s="102">
        <f t="shared" si="100"/>
        <v>463</v>
      </c>
      <c r="E463" s="103" t="s">
        <v>768</v>
      </c>
      <c r="F463" s="108">
        <f>D461</f>
        <v>461</v>
      </c>
      <c r="G463" s="105"/>
      <c r="H463" s="105"/>
      <c r="I463" s="104"/>
      <c r="J463" s="104"/>
      <c r="K463" s="118"/>
      <c r="L463" s="118"/>
      <c r="M463" s="119"/>
      <c r="N463" s="104"/>
      <c r="O463" s="120"/>
      <c r="P463" s="104"/>
      <c r="Q463" s="150"/>
      <c r="R463" s="148"/>
      <c r="S463" s="150"/>
      <c r="T463" s="149"/>
    </row>
    <row r="464" spans="3:20" ht="20.25" customHeight="1">
      <c r="C464" s="96"/>
      <c r="D464" s="102">
        <f t="shared" si="100"/>
        <v>464</v>
      </c>
      <c r="E464" s="106" t="s">
        <v>459</v>
      </c>
      <c r="F464" s="108">
        <f t="shared" si="90"/>
        <v>463</v>
      </c>
      <c r="G464" s="105" t="s">
        <v>44</v>
      </c>
      <c r="H464" s="105"/>
      <c r="I464" s="104">
        <v>18</v>
      </c>
      <c r="J464" s="104" t="str">
        <f>J462</f>
        <v>1560 mm id</v>
      </c>
      <c r="K464" s="118">
        <v>1</v>
      </c>
      <c r="L464" s="118" t="s">
        <v>81</v>
      </c>
      <c r="M464" s="119">
        <v>1</v>
      </c>
      <c r="N464" s="104" t="s">
        <v>81</v>
      </c>
      <c r="O464" s="120">
        <v>4</v>
      </c>
      <c r="P464" s="104" t="s">
        <v>112</v>
      </c>
      <c r="Q464" s="150">
        <f t="shared" si="91"/>
        <v>4</v>
      </c>
      <c r="R464" s="148">
        <v>1</v>
      </c>
      <c r="S464" s="150">
        <f t="shared" si="92"/>
        <v>5</v>
      </c>
      <c r="T464" s="152" t="s">
        <v>48</v>
      </c>
    </row>
    <row r="465" spans="3:20" ht="20.25" customHeight="1">
      <c r="C465" s="96"/>
      <c r="D465" s="102">
        <f t="shared" si="100"/>
        <v>465</v>
      </c>
      <c r="E465" s="106" t="s">
        <v>460</v>
      </c>
      <c r="F465" s="108">
        <f t="shared" si="90"/>
        <v>464</v>
      </c>
      <c r="G465" s="105" t="s">
        <v>44</v>
      </c>
      <c r="H465" s="105"/>
      <c r="I465" s="104">
        <v>18</v>
      </c>
      <c r="J465" s="104" t="str">
        <f>J464</f>
        <v>1560 mm id</v>
      </c>
      <c r="K465" s="118">
        <v>1</v>
      </c>
      <c r="L465" s="118" t="s">
        <v>81</v>
      </c>
      <c r="M465" s="119">
        <v>1</v>
      </c>
      <c r="N465" s="104" t="s">
        <v>81</v>
      </c>
      <c r="O465" s="120">
        <v>4</v>
      </c>
      <c r="P465" s="104" t="s">
        <v>112</v>
      </c>
      <c r="Q465" s="150">
        <f t="shared" si="91"/>
        <v>4</v>
      </c>
      <c r="R465" s="148">
        <v>1</v>
      </c>
      <c r="S465" s="150">
        <f t="shared" si="92"/>
        <v>5</v>
      </c>
      <c r="T465" s="152" t="s">
        <v>48</v>
      </c>
    </row>
    <row r="466" spans="3:20" ht="20.25" customHeight="1">
      <c r="C466" s="96">
        <f>D466</f>
        <v>466</v>
      </c>
      <c r="D466" s="102">
        <f t="shared" si="100"/>
        <v>466</v>
      </c>
      <c r="E466" s="103" t="s">
        <v>461</v>
      </c>
      <c r="F466" s="108">
        <f>D463</f>
        <v>463</v>
      </c>
      <c r="G466" s="105"/>
      <c r="H466" s="105"/>
      <c r="I466" s="104"/>
      <c r="J466" s="104"/>
      <c r="K466" s="118"/>
      <c r="L466" s="118"/>
      <c r="M466" s="119"/>
      <c r="N466" s="104"/>
      <c r="O466" s="120"/>
      <c r="P466" s="104"/>
      <c r="Q466" s="150"/>
      <c r="R466" s="148"/>
      <c r="S466" s="150"/>
      <c r="T466" s="149"/>
    </row>
    <row r="467" spans="3:20" ht="20.25" customHeight="1">
      <c r="C467" s="96"/>
      <c r="D467" s="102">
        <f t="shared" si="100"/>
        <v>467</v>
      </c>
      <c r="E467" s="106" t="s">
        <v>462</v>
      </c>
      <c r="F467" s="108">
        <f t="shared" si="90"/>
        <v>466</v>
      </c>
      <c r="G467" s="105" t="s">
        <v>52</v>
      </c>
      <c r="H467" s="105"/>
      <c r="I467" s="104"/>
      <c r="J467" s="132" t="s">
        <v>463</v>
      </c>
      <c r="K467" s="118">
        <v>1</v>
      </c>
      <c r="L467" s="118" t="s">
        <v>39</v>
      </c>
      <c r="M467" s="119">
        <v>1</v>
      </c>
      <c r="N467" s="104"/>
      <c r="O467" s="162" t="e">
        <f>VLOOKUP(J467,BM!$B$3:$Y$62,2,FALSE)</f>
        <v>#N/A</v>
      </c>
      <c r="P467" s="104" t="s">
        <v>112</v>
      </c>
      <c r="Q467" s="150" t="e">
        <f t="shared" si="91"/>
        <v>#N/A</v>
      </c>
      <c r="R467" s="148">
        <v>1</v>
      </c>
      <c r="S467" s="150" t="e">
        <f t="shared" si="92"/>
        <v>#N/A</v>
      </c>
      <c r="T467" s="152" t="s">
        <v>48</v>
      </c>
    </row>
    <row r="468" spans="3:20" ht="20.25" customHeight="1">
      <c r="C468" s="96"/>
      <c r="D468" s="102">
        <f t="shared" si="100"/>
        <v>468</v>
      </c>
      <c r="E468" s="106" t="s">
        <v>464</v>
      </c>
      <c r="F468" s="108">
        <f t="shared" si="90"/>
        <v>467</v>
      </c>
      <c r="G468" s="105" t="s">
        <v>52</v>
      </c>
      <c r="H468" s="105"/>
      <c r="I468" s="104"/>
      <c r="J468" s="132" t="s">
        <v>463</v>
      </c>
      <c r="K468" s="118">
        <v>1</v>
      </c>
      <c r="L468" s="118" t="s">
        <v>39</v>
      </c>
      <c r="M468" s="119">
        <v>1</v>
      </c>
      <c r="N468" s="104"/>
      <c r="O468" s="162" t="e">
        <f>VLOOKUP(J468,BM!$B$3:$Y$62,2,FALSE)</f>
        <v>#N/A</v>
      </c>
      <c r="P468" s="104" t="s">
        <v>112</v>
      </c>
      <c r="Q468" s="150" t="e">
        <f t="shared" si="91"/>
        <v>#N/A</v>
      </c>
      <c r="R468" s="148">
        <v>1</v>
      </c>
      <c r="S468" s="150" t="e">
        <f t="shared" si="92"/>
        <v>#N/A</v>
      </c>
      <c r="T468" s="152" t="s">
        <v>48</v>
      </c>
    </row>
    <row r="469" spans="3:20" ht="20.25" customHeight="1">
      <c r="C469" s="96">
        <f>D469</f>
        <v>469</v>
      </c>
      <c r="D469" s="102">
        <f t="shared" si="100"/>
        <v>469</v>
      </c>
      <c r="E469" s="103" t="s">
        <v>465</v>
      </c>
      <c r="F469" s="108">
        <f>D466</f>
        <v>466</v>
      </c>
      <c r="G469" s="105"/>
      <c r="H469" s="105"/>
      <c r="I469" s="104"/>
      <c r="J469" s="104"/>
      <c r="K469" s="118"/>
      <c r="L469" s="118"/>
      <c r="M469" s="119"/>
      <c r="N469" s="104"/>
      <c r="O469" s="120"/>
      <c r="P469" s="104"/>
      <c r="Q469" s="150"/>
      <c r="R469" s="148"/>
      <c r="S469" s="150"/>
      <c r="T469" s="149"/>
    </row>
    <row r="470" spans="3:20" ht="20.25" customHeight="1">
      <c r="C470" s="96"/>
      <c r="D470" s="102">
        <f t="shared" si="100"/>
        <v>470</v>
      </c>
      <c r="E470" s="106" t="s">
        <v>466</v>
      </c>
      <c r="F470" s="108">
        <f t="shared" si="90"/>
        <v>469</v>
      </c>
      <c r="G470" s="105" t="s">
        <v>121</v>
      </c>
      <c r="H470" s="105"/>
      <c r="I470" s="104"/>
      <c r="J470" s="104" t="str">
        <f>J468</f>
        <v>400nb</v>
      </c>
      <c r="K470" s="118">
        <v>1</v>
      </c>
      <c r="L470" s="118" t="s">
        <v>39</v>
      </c>
      <c r="M470" s="119">
        <v>1</v>
      </c>
      <c r="N470" s="104"/>
      <c r="O470" s="162" t="e">
        <f>VLOOKUP(J470,BM!$B$3:$Y$62,4,FALSE)</f>
        <v>#N/A</v>
      </c>
      <c r="P470" s="104" t="s">
        <v>112</v>
      </c>
      <c r="Q470" s="150" t="e">
        <f t="shared" si="91"/>
        <v>#N/A</v>
      </c>
      <c r="R470" s="148">
        <v>1</v>
      </c>
      <c r="S470" s="150" t="e">
        <f t="shared" si="92"/>
        <v>#N/A</v>
      </c>
      <c r="T470" s="152" t="s">
        <v>48</v>
      </c>
    </row>
    <row r="471" spans="3:20" ht="20.25" customHeight="1">
      <c r="C471" s="96"/>
      <c r="D471" s="102">
        <f t="shared" si="100"/>
        <v>471</v>
      </c>
      <c r="E471" s="106" t="s">
        <v>467</v>
      </c>
      <c r="F471" s="108">
        <f t="shared" si="90"/>
        <v>470</v>
      </c>
      <c r="G471" s="105" t="s">
        <v>121</v>
      </c>
      <c r="H471" s="105"/>
      <c r="I471" s="104"/>
      <c r="J471" s="104" t="str">
        <f>J468</f>
        <v>400nb</v>
      </c>
      <c r="K471" s="118">
        <v>1</v>
      </c>
      <c r="L471" s="118" t="s">
        <v>39</v>
      </c>
      <c r="M471" s="119">
        <v>1</v>
      </c>
      <c r="N471" s="104"/>
      <c r="O471" s="162" t="e">
        <f>VLOOKUP(J471,BM!$B$3:$Y$62,4,FALSE)</f>
        <v>#N/A</v>
      </c>
      <c r="P471" s="104" t="s">
        <v>112</v>
      </c>
      <c r="Q471" s="150" t="e">
        <f t="shared" si="91"/>
        <v>#N/A</v>
      </c>
      <c r="R471" s="148">
        <v>1</v>
      </c>
      <c r="S471" s="150" t="e">
        <f t="shared" si="92"/>
        <v>#N/A</v>
      </c>
      <c r="T471" s="152" t="s">
        <v>48</v>
      </c>
    </row>
    <row r="472" spans="3:20" ht="20.25" customHeight="1">
      <c r="C472" s="96">
        <f>D472</f>
        <v>472</v>
      </c>
      <c r="D472" s="102">
        <f t="shared" si="100"/>
        <v>472</v>
      </c>
      <c r="E472" s="103" t="s">
        <v>468</v>
      </c>
      <c r="F472" s="108">
        <f>D469</f>
        <v>469</v>
      </c>
      <c r="G472" s="105"/>
      <c r="H472" s="105"/>
      <c r="I472" s="104"/>
      <c r="J472" s="104"/>
      <c r="K472" s="118"/>
      <c r="L472" s="118"/>
      <c r="M472" s="119"/>
      <c r="N472" s="104"/>
      <c r="O472" s="120"/>
      <c r="P472" s="104"/>
      <c r="Q472" s="150"/>
      <c r="R472" s="148"/>
      <c r="S472" s="150"/>
      <c r="T472" s="149"/>
    </row>
    <row r="473" spans="3:20" ht="20.25" customHeight="1">
      <c r="C473" s="96"/>
      <c r="D473" s="102">
        <f t="shared" si="100"/>
        <v>473</v>
      </c>
      <c r="E473" s="106" t="s">
        <v>469</v>
      </c>
      <c r="F473" s="108">
        <f t="shared" si="90"/>
        <v>472</v>
      </c>
      <c r="G473" s="105" t="s">
        <v>111</v>
      </c>
      <c r="H473" s="105"/>
      <c r="I473" s="104"/>
      <c r="J473" s="132" t="s">
        <v>463</v>
      </c>
      <c r="K473" s="118">
        <v>1</v>
      </c>
      <c r="L473" s="118" t="s">
        <v>39</v>
      </c>
      <c r="M473" s="119">
        <v>1</v>
      </c>
      <c r="N473" s="132" t="s">
        <v>39</v>
      </c>
      <c r="O473" s="162" t="e">
        <f>VLOOKUP(J473,BM!$B$3:$Y$62,5,FALSE)</f>
        <v>#N/A</v>
      </c>
      <c r="P473" s="104" t="s">
        <v>112</v>
      </c>
      <c r="Q473" s="150" t="e">
        <f t="shared" si="91"/>
        <v>#N/A</v>
      </c>
      <c r="R473" s="148">
        <v>1</v>
      </c>
      <c r="S473" s="150" t="e">
        <f t="shared" si="92"/>
        <v>#N/A</v>
      </c>
      <c r="T473" s="152" t="s">
        <v>48</v>
      </c>
    </row>
    <row r="474" spans="3:20" ht="20.25" customHeight="1">
      <c r="C474" s="96"/>
      <c r="D474" s="102">
        <f t="shared" si="100"/>
        <v>474</v>
      </c>
      <c r="E474" s="106" t="s">
        <v>470</v>
      </c>
      <c r="F474" s="108">
        <f t="shared" si="90"/>
        <v>473</v>
      </c>
      <c r="G474" s="105" t="s">
        <v>111</v>
      </c>
      <c r="H474" s="105"/>
      <c r="I474" s="104"/>
      <c r="J474" s="132" t="s">
        <v>463</v>
      </c>
      <c r="K474" s="118">
        <v>1</v>
      </c>
      <c r="L474" s="118" t="s">
        <v>39</v>
      </c>
      <c r="M474" s="119">
        <v>1</v>
      </c>
      <c r="N474" s="132" t="s">
        <v>39</v>
      </c>
      <c r="O474" s="162" t="e">
        <f>VLOOKUP(J474,BM!$B$3:$Y$62,5,FALSE)</f>
        <v>#N/A</v>
      </c>
      <c r="P474" s="104" t="s">
        <v>112</v>
      </c>
      <c r="Q474" s="150" t="e">
        <f t="shared" si="91"/>
        <v>#N/A</v>
      </c>
      <c r="R474" s="148">
        <v>1</v>
      </c>
      <c r="S474" s="150" t="e">
        <f t="shared" si="92"/>
        <v>#N/A</v>
      </c>
      <c r="T474" s="152" t="s">
        <v>48</v>
      </c>
    </row>
    <row r="475" spans="3:20" ht="20.25" customHeight="1">
      <c r="C475" s="96">
        <f>D475</f>
        <v>475</v>
      </c>
      <c r="D475" s="102">
        <f t="shared" si="100"/>
        <v>475</v>
      </c>
      <c r="E475" s="103" t="s">
        <v>471</v>
      </c>
      <c r="F475" s="108">
        <f>D472</f>
        <v>472</v>
      </c>
      <c r="G475" s="105"/>
      <c r="H475" s="105"/>
      <c r="I475" s="104"/>
      <c r="J475" s="104"/>
      <c r="K475" s="118"/>
      <c r="L475" s="118"/>
      <c r="M475" s="119"/>
      <c r="N475" s="104"/>
      <c r="O475" s="120"/>
      <c r="P475" s="104"/>
      <c r="Q475" s="150"/>
      <c r="R475" s="148"/>
      <c r="S475" s="150"/>
      <c r="T475" s="149"/>
    </row>
    <row r="476" spans="3:20" ht="20.25" customHeight="1">
      <c r="C476" s="96"/>
      <c r="D476" s="102">
        <f t="shared" si="100"/>
        <v>476</v>
      </c>
      <c r="E476" s="106" t="s">
        <v>472</v>
      </c>
      <c r="F476" s="108">
        <f t="shared" si="90"/>
        <v>475</v>
      </c>
      <c r="G476" s="105" t="s">
        <v>44</v>
      </c>
      <c r="H476" s="105"/>
      <c r="I476" s="104"/>
      <c r="J476" s="104" t="s">
        <v>463</v>
      </c>
      <c r="K476" s="118">
        <v>1</v>
      </c>
      <c r="L476" s="118" t="s">
        <v>39</v>
      </c>
      <c r="M476" s="119">
        <v>1</v>
      </c>
      <c r="N476" s="132" t="s">
        <v>39</v>
      </c>
      <c r="O476" s="120">
        <v>1</v>
      </c>
      <c r="P476" s="104" t="s">
        <v>112</v>
      </c>
      <c r="Q476" s="150">
        <f t="shared" ref="Q476:Q539" si="102">M476*O476</f>
        <v>1</v>
      </c>
      <c r="R476" s="148">
        <v>1</v>
      </c>
      <c r="S476" s="150">
        <f t="shared" ref="S476:S539" si="103">Q476+R476</f>
        <v>2</v>
      </c>
      <c r="T476" s="152" t="s">
        <v>48</v>
      </c>
    </row>
    <row r="477" spans="3:20" ht="20.25" customHeight="1">
      <c r="C477" s="96"/>
      <c r="D477" s="102">
        <f t="shared" si="100"/>
        <v>477</v>
      </c>
      <c r="E477" s="106" t="s">
        <v>473</v>
      </c>
      <c r="F477" s="108">
        <f t="shared" ref="F477:F540" si="104">D476</f>
        <v>476</v>
      </c>
      <c r="G477" s="105" t="s">
        <v>44</v>
      </c>
      <c r="H477" s="105"/>
      <c r="I477" s="104"/>
      <c r="J477" s="104" t="s">
        <v>463</v>
      </c>
      <c r="K477" s="118">
        <v>1</v>
      </c>
      <c r="L477" s="118" t="s">
        <v>39</v>
      </c>
      <c r="M477" s="119">
        <v>1</v>
      </c>
      <c r="N477" s="132" t="s">
        <v>39</v>
      </c>
      <c r="O477" s="120">
        <v>1</v>
      </c>
      <c r="P477" s="104" t="s">
        <v>112</v>
      </c>
      <c r="Q477" s="150">
        <f t="shared" si="102"/>
        <v>1</v>
      </c>
      <c r="R477" s="148">
        <v>1</v>
      </c>
      <c r="S477" s="150">
        <f t="shared" si="103"/>
        <v>2</v>
      </c>
      <c r="T477" s="152" t="s">
        <v>48</v>
      </c>
    </row>
    <row r="478" spans="3:20" ht="20.25" customHeight="1">
      <c r="C478" s="96">
        <f>D478</f>
        <v>478</v>
      </c>
      <c r="D478" s="102">
        <f t="shared" si="100"/>
        <v>478</v>
      </c>
      <c r="E478" s="103" t="s">
        <v>474</v>
      </c>
      <c r="F478" s="108">
        <f>D475</f>
        <v>475</v>
      </c>
      <c r="G478" s="105"/>
      <c r="H478" s="105"/>
      <c r="I478" s="104"/>
      <c r="J478" s="104"/>
      <c r="K478" s="118"/>
      <c r="L478" s="118"/>
      <c r="M478" s="119"/>
      <c r="N478" s="104"/>
      <c r="O478" s="120"/>
      <c r="P478" s="104"/>
      <c r="Q478" s="150"/>
      <c r="R478" s="148"/>
      <c r="S478" s="150"/>
      <c r="T478" s="149"/>
    </row>
    <row r="479" spans="3:20" ht="20.25" customHeight="1">
      <c r="C479" s="96"/>
      <c r="D479" s="102">
        <f t="shared" si="100"/>
        <v>479</v>
      </c>
      <c r="E479" s="106" t="s">
        <v>475</v>
      </c>
      <c r="F479" s="108">
        <f t="shared" si="104"/>
        <v>478</v>
      </c>
      <c r="G479" s="105" t="s">
        <v>201</v>
      </c>
      <c r="H479" s="105"/>
      <c r="I479" s="104"/>
      <c r="J479" s="132" t="s">
        <v>463</v>
      </c>
      <c r="K479" s="118">
        <v>2</v>
      </c>
      <c r="L479" s="118" t="s">
        <v>81</v>
      </c>
      <c r="M479" s="119">
        <v>1</v>
      </c>
      <c r="N479" s="132" t="s">
        <v>39</v>
      </c>
      <c r="O479" s="120">
        <v>0.5</v>
      </c>
      <c r="P479" s="104" t="s">
        <v>112</v>
      </c>
      <c r="Q479" s="150">
        <f t="shared" si="102"/>
        <v>0.5</v>
      </c>
      <c r="R479" s="148">
        <v>1</v>
      </c>
      <c r="S479" s="150">
        <f t="shared" si="103"/>
        <v>1.5</v>
      </c>
      <c r="T479" s="152" t="s">
        <v>48</v>
      </c>
    </row>
    <row r="480" spans="3:20" ht="20.25" customHeight="1">
      <c r="C480" s="96"/>
      <c r="D480" s="102">
        <f t="shared" si="100"/>
        <v>480</v>
      </c>
      <c r="E480" s="106" t="s">
        <v>476</v>
      </c>
      <c r="F480" s="108">
        <f t="shared" si="104"/>
        <v>479</v>
      </c>
      <c r="G480" s="105" t="s">
        <v>115</v>
      </c>
      <c r="H480" s="105"/>
      <c r="I480" s="104">
        <v>14</v>
      </c>
      <c r="J480" s="132" t="s">
        <v>477</v>
      </c>
      <c r="K480" s="118">
        <v>1</v>
      </c>
      <c r="L480" s="118" t="s">
        <v>39</v>
      </c>
      <c r="M480" s="142">
        <f>16*25.4*3.142*K480/1000</f>
        <v>1.2769088</v>
      </c>
      <c r="N480" s="132" t="s">
        <v>249</v>
      </c>
      <c r="O480" s="162">
        <f>VLOOKUP(I480,BM!$B$3:$Y$62,17,FALSE)</f>
        <v>3.22</v>
      </c>
      <c r="P480" s="104" t="s">
        <v>112</v>
      </c>
      <c r="Q480" s="150">
        <f t="shared" si="102"/>
        <v>4.1116463359999997</v>
      </c>
      <c r="R480" s="148">
        <v>1</v>
      </c>
      <c r="S480" s="150">
        <f t="shared" si="103"/>
        <v>5.1116463359999997</v>
      </c>
      <c r="T480" s="152" t="s">
        <v>48</v>
      </c>
    </row>
    <row r="481" spans="3:21" ht="20.25" customHeight="1">
      <c r="C481" s="96"/>
      <c r="D481" s="102">
        <f t="shared" si="100"/>
        <v>481</v>
      </c>
      <c r="E481" s="106" t="s">
        <v>478</v>
      </c>
      <c r="F481" s="108">
        <f t="shared" si="104"/>
        <v>480</v>
      </c>
      <c r="G481" s="105" t="s">
        <v>115</v>
      </c>
      <c r="H481" s="105"/>
      <c r="I481" s="104">
        <v>14</v>
      </c>
      <c r="J481" s="132" t="s">
        <v>477</v>
      </c>
      <c r="K481" s="118">
        <v>1</v>
      </c>
      <c r="L481" s="118" t="s">
        <v>39</v>
      </c>
      <c r="M481" s="142">
        <f>16*25.4*3.142*K481/1000</f>
        <v>1.2769088</v>
      </c>
      <c r="N481" s="132" t="s">
        <v>249</v>
      </c>
      <c r="O481" s="162">
        <f>VLOOKUP(I481,BM!$B$3:$Y$62,17,FALSE)</f>
        <v>3.22</v>
      </c>
      <c r="P481" s="104" t="s">
        <v>112</v>
      </c>
      <c r="Q481" s="150">
        <f t="shared" si="102"/>
        <v>4.1116463359999997</v>
      </c>
      <c r="R481" s="148">
        <v>1</v>
      </c>
      <c r="S481" s="150">
        <f t="shared" si="103"/>
        <v>5.1116463359999997</v>
      </c>
      <c r="T481" s="152" t="s">
        <v>48</v>
      </c>
    </row>
    <row r="482" spans="3:21" ht="20.25" customHeight="1">
      <c r="C482" s="96"/>
      <c r="D482" s="102">
        <f t="shared" si="100"/>
        <v>482</v>
      </c>
      <c r="E482" s="106" t="s">
        <v>479</v>
      </c>
      <c r="F482" s="108">
        <f t="shared" si="104"/>
        <v>481</v>
      </c>
      <c r="G482" s="105" t="s">
        <v>115</v>
      </c>
      <c r="H482" s="105"/>
      <c r="I482" s="104">
        <v>14</v>
      </c>
      <c r="J482" s="132" t="s">
        <v>477</v>
      </c>
      <c r="K482" s="118">
        <v>2</v>
      </c>
      <c r="L482" s="118" t="s">
        <v>39</v>
      </c>
      <c r="M482" s="119">
        <v>2</v>
      </c>
      <c r="N482" s="132" t="s">
        <v>81</v>
      </c>
      <c r="O482" s="120">
        <v>1</v>
      </c>
      <c r="P482" s="104" t="s">
        <v>112</v>
      </c>
      <c r="Q482" s="150">
        <f t="shared" si="102"/>
        <v>2</v>
      </c>
      <c r="R482" s="148">
        <v>1</v>
      </c>
      <c r="S482" s="150">
        <f t="shared" si="103"/>
        <v>3</v>
      </c>
      <c r="T482" s="152" t="s">
        <v>48</v>
      </c>
    </row>
    <row r="483" spans="3:21" ht="20.25" customHeight="1">
      <c r="C483" s="96"/>
      <c r="D483" s="102">
        <f t="shared" si="100"/>
        <v>483</v>
      </c>
      <c r="E483" s="106" t="s">
        <v>480</v>
      </c>
      <c r="F483" s="108">
        <f t="shared" si="104"/>
        <v>482</v>
      </c>
      <c r="G483" s="105" t="s">
        <v>115</v>
      </c>
      <c r="H483" s="105"/>
      <c r="I483" s="104">
        <v>6</v>
      </c>
      <c r="J483" s="132" t="s">
        <v>477</v>
      </c>
      <c r="K483" s="118">
        <v>1</v>
      </c>
      <c r="L483" s="118" t="s">
        <v>39</v>
      </c>
      <c r="M483" s="142">
        <f>16*25.4*3.142*K483/1000</f>
        <v>1.2769088</v>
      </c>
      <c r="N483" s="132" t="s">
        <v>249</v>
      </c>
      <c r="O483" s="162">
        <f>VLOOKUP(I483,BM!$B$3:$Y$62,17,FALSE)</f>
        <v>0.9</v>
      </c>
      <c r="P483" s="104" t="s">
        <v>112</v>
      </c>
      <c r="Q483" s="150">
        <f t="shared" si="102"/>
        <v>1.1492179199999999</v>
      </c>
      <c r="R483" s="148">
        <v>1</v>
      </c>
      <c r="S483" s="150">
        <f t="shared" si="103"/>
        <v>2.1492179199999999</v>
      </c>
      <c r="T483" s="152" t="s">
        <v>48</v>
      </c>
    </row>
    <row r="484" spans="3:21" ht="20.25" customHeight="1">
      <c r="C484" s="96"/>
      <c r="D484" s="102">
        <f t="shared" si="100"/>
        <v>484</v>
      </c>
      <c r="E484" s="106" t="s">
        <v>481</v>
      </c>
      <c r="F484" s="108">
        <f t="shared" si="104"/>
        <v>483</v>
      </c>
      <c r="G484" s="105" t="s">
        <v>115</v>
      </c>
      <c r="H484" s="105"/>
      <c r="I484" s="104">
        <v>6</v>
      </c>
      <c r="J484" s="132" t="s">
        <v>477</v>
      </c>
      <c r="K484" s="118">
        <v>1</v>
      </c>
      <c r="L484" s="118" t="s">
        <v>39</v>
      </c>
      <c r="M484" s="142">
        <f>16*25.4*3.142*K484/1000</f>
        <v>1.2769088</v>
      </c>
      <c r="N484" s="132" t="s">
        <v>249</v>
      </c>
      <c r="O484" s="162">
        <f>VLOOKUP(I484,BM!$B$3:$Y$62,17,FALSE)</f>
        <v>0.9</v>
      </c>
      <c r="P484" s="104" t="s">
        <v>112</v>
      </c>
      <c r="Q484" s="150">
        <f t="shared" si="102"/>
        <v>1.1492179199999999</v>
      </c>
      <c r="R484" s="148">
        <v>1</v>
      </c>
      <c r="S484" s="150">
        <f t="shared" si="103"/>
        <v>2.1492179199999999</v>
      </c>
      <c r="T484" s="152" t="s">
        <v>48</v>
      </c>
    </row>
    <row r="485" spans="3:21" ht="20.25" customHeight="1">
      <c r="C485" s="96"/>
      <c r="D485" s="102">
        <f t="shared" si="100"/>
        <v>485</v>
      </c>
      <c r="E485" s="106" t="s">
        <v>769</v>
      </c>
      <c r="F485" s="108">
        <f t="shared" si="104"/>
        <v>484</v>
      </c>
      <c r="G485" s="105" t="s">
        <v>115</v>
      </c>
      <c r="H485" s="105"/>
      <c r="I485" s="104"/>
      <c r="J485" s="132" t="s">
        <v>463</v>
      </c>
      <c r="K485" s="118">
        <v>2</v>
      </c>
      <c r="L485" s="118" t="s">
        <v>39</v>
      </c>
      <c r="M485" s="119">
        <v>2</v>
      </c>
      <c r="N485" s="104" t="s">
        <v>84</v>
      </c>
      <c r="O485" s="162" t="e">
        <f>VLOOKUP(J485,BM!$B$3:$Y$62,11,FALSE)</f>
        <v>#N/A</v>
      </c>
      <c r="P485" s="104" t="s">
        <v>112</v>
      </c>
      <c r="Q485" s="150" t="e">
        <f t="shared" si="102"/>
        <v>#N/A</v>
      </c>
      <c r="R485" s="148">
        <v>1</v>
      </c>
      <c r="S485" s="150" t="e">
        <f t="shared" si="103"/>
        <v>#N/A</v>
      </c>
      <c r="T485" s="152" t="s">
        <v>48</v>
      </c>
    </row>
    <row r="486" spans="3:21" ht="20.25" customHeight="1">
      <c r="C486" s="96"/>
      <c r="D486" s="102">
        <f t="shared" si="100"/>
        <v>486</v>
      </c>
      <c r="E486" s="106" t="s">
        <v>483</v>
      </c>
      <c r="F486" s="108">
        <f t="shared" si="104"/>
        <v>485</v>
      </c>
      <c r="G486" s="105" t="s">
        <v>121</v>
      </c>
      <c r="H486" s="105"/>
      <c r="I486" s="104">
        <v>18</v>
      </c>
      <c r="J486" s="104"/>
      <c r="K486" s="118">
        <v>2</v>
      </c>
      <c r="L486" s="118" t="s">
        <v>39</v>
      </c>
      <c r="M486" s="142">
        <f>16*25.4*3.142*0.001*K486</f>
        <v>2.5538175999999999</v>
      </c>
      <c r="N486" s="104" t="s">
        <v>249</v>
      </c>
      <c r="O486" s="162">
        <f>VLOOKUP(I486,BM!$B$3:$Y$62,23,FALSE)</f>
        <v>6.8</v>
      </c>
      <c r="P486" s="104" t="s">
        <v>112</v>
      </c>
      <c r="Q486" s="150">
        <f t="shared" si="102"/>
        <v>17.36595968</v>
      </c>
      <c r="R486" s="148">
        <v>1</v>
      </c>
      <c r="S486" s="150">
        <f t="shared" si="103"/>
        <v>18.36595968</v>
      </c>
      <c r="T486" s="152" t="s">
        <v>48</v>
      </c>
    </row>
    <row r="487" spans="3:21" ht="20.25" customHeight="1">
      <c r="C487" s="96"/>
      <c r="D487" s="102">
        <f t="shared" si="100"/>
        <v>487</v>
      </c>
      <c r="E487" s="106" t="s">
        <v>484</v>
      </c>
      <c r="F487" s="108">
        <f t="shared" si="104"/>
        <v>486</v>
      </c>
      <c r="G487" s="105" t="s">
        <v>61</v>
      </c>
      <c r="H487" s="105"/>
      <c r="I487" s="104"/>
      <c r="J487" s="132" t="s">
        <v>477</v>
      </c>
      <c r="K487" s="118">
        <v>2</v>
      </c>
      <c r="L487" s="118" t="s">
        <v>485</v>
      </c>
      <c r="M487" s="142">
        <f>16*25.4*3.142*K487/1000</f>
        <v>2.5538175999999999</v>
      </c>
      <c r="N487" s="104" t="s">
        <v>39</v>
      </c>
      <c r="O487" s="120">
        <v>0.15</v>
      </c>
      <c r="P487" s="104" t="s">
        <v>112</v>
      </c>
      <c r="Q487" s="150">
        <f t="shared" si="102"/>
        <v>0.38307263999999996</v>
      </c>
      <c r="R487" s="148">
        <v>1</v>
      </c>
      <c r="S487" s="150">
        <f t="shared" si="103"/>
        <v>1.38307264</v>
      </c>
      <c r="T487" s="152" t="s">
        <v>48</v>
      </c>
    </row>
    <row r="488" spans="3:21" ht="20.25" customHeight="1">
      <c r="C488" s="96">
        <f>D488</f>
        <v>488</v>
      </c>
      <c r="D488" s="102">
        <f t="shared" si="100"/>
        <v>488</v>
      </c>
      <c r="E488" s="103" t="s">
        <v>770</v>
      </c>
      <c r="F488" s="108">
        <f>D478</f>
        <v>478</v>
      </c>
      <c r="G488" s="105"/>
      <c r="H488" s="105"/>
      <c r="I488" s="104"/>
      <c r="J488" s="104"/>
      <c r="K488" s="118"/>
      <c r="L488" s="118"/>
      <c r="M488" s="119"/>
      <c r="N488" s="104"/>
      <c r="O488" s="120"/>
      <c r="P488" s="104"/>
      <c r="Q488" s="150"/>
      <c r="R488" s="148"/>
      <c r="S488" s="150"/>
      <c r="T488" s="149"/>
    </row>
    <row r="489" spans="3:21" ht="20.25" customHeight="1">
      <c r="C489" s="96"/>
      <c r="D489" s="102">
        <f t="shared" si="100"/>
        <v>489</v>
      </c>
      <c r="E489" s="106" t="s">
        <v>487</v>
      </c>
      <c r="F489" s="108">
        <f t="shared" si="104"/>
        <v>488</v>
      </c>
      <c r="G489" s="105" t="s">
        <v>299</v>
      </c>
      <c r="H489" s="105"/>
      <c r="I489" s="104">
        <v>24</v>
      </c>
      <c r="J489" s="132">
        <v>14465</v>
      </c>
      <c r="K489" s="118">
        <v>1</v>
      </c>
      <c r="L489" s="118" t="s">
        <v>39</v>
      </c>
      <c r="M489" s="119">
        <f>J489*K489/1000</f>
        <v>14.465</v>
      </c>
      <c r="N489" s="104" t="s">
        <v>81</v>
      </c>
      <c r="O489" s="120">
        <v>0.5</v>
      </c>
      <c r="P489" s="104" t="s">
        <v>112</v>
      </c>
      <c r="Q489" s="150">
        <f t="shared" si="102"/>
        <v>7.2324999999999999</v>
      </c>
      <c r="R489" s="148">
        <v>1</v>
      </c>
      <c r="S489" s="150">
        <f t="shared" si="103"/>
        <v>8.2324999999999999</v>
      </c>
      <c r="T489" s="152" t="s">
        <v>48</v>
      </c>
      <c r="U489" s="87">
        <f>466*2*2+1231*2*2+1212*2+1231+780*2+1231*2</f>
        <v>14465</v>
      </c>
    </row>
    <row r="490" spans="3:21" ht="20.25" customHeight="1">
      <c r="C490" s="96"/>
      <c r="D490" s="102">
        <f t="shared" si="100"/>
        <v>490</v>
      </c>
      <c r="E490" s="106" t="s">
        <v>488</v>
      </c>
      <c r="F490" s="108">
        <f t="shared" si="104"/>
        <v>489</v>
      </c>
      <c r="G490" s="105" t="s">
        <v>44</v>
      </c>
      <c r="H490" s="105"/>
      <c r="I490" s="104">
        <v>24</v>
      </c>
      <c r="J490" s="132" t="s">
        <v>489</v>
      </c>
      <c r="K490" s="118">
        <v>3</v>
      </c>
      <c r="L490" s="118" t="s">
        <v>39</v>
      </c>
      <c r="M490" s="119">
        <v>4</v>
      </c>
      <c r="N490" s="104" t="s">
        <v>81</v>
      </c>
      <c r="O490" s="120">
        <v>0.5</v>
      </c>
      <c r="P490" s="104" t="s">
        <v>112</v>
      </c>
      <c r="Q490" s="150">
        <f t="shared" si="102"/>
        <v>2</v>
      </c>
      <c r="R490" s="148">
        <v>1</v>
      </c>
      <c r="S490" s="150">
        <f t="shared" si="103"/>
        <v>3</v>
      </c>
      <c r="T490" s="152" t="s">
        <v>48</v>
      </c>
    </row>
    <row r="491" spans="3:21" ht="20.25" customHeight="1">
      <c r="C491" s="96">
        <f>D491</f>
        <v>491</v>
      </c>
      <c r="D491" s="102">
        <f t="shared" si="100"/>
        <v>491</v>
      </c>
      <c r="E491" s="103" t="s">
        <v>490</v>
      </c>
      <c r="F491" s="108">
        <f>D488</f>
        <v>488</v>
      </c>
      <c r="G491" s="105"/>
      <c r="H491" s="105"/>
      <c r="I491" s="104"/>
      <c r="J491" s="104"/>
      <c r="K491" s="118"/>
      <c r="L491" s="118"/>
      <c r="M491" s="119"/>
      <c r="N491" s="104"/>
      <c r="O491" s="120"/>
      <c r="P491" s="104"/>
      <c r="Q491" s="150"/>
      <c r="R491" s="148"/>
      <c r="S491" s="150"/>
      <c r="T491" s="149"/>
    </row>
    <row r="492" spans="3:21" ht="20.25" customHeight="1">
      <c r="C492" s="96"/>
      <c r="D492" s="102">
        <f t="shared" si="100"/>
        <v>492</v>
      </c>
      <c r="E492" s="106" t="s">
        <v>491</v>
      </c>
      <c r="F492" s="108">
        <f t="shared" si="104"/>
        <v>491</v>
      </c>
      <c r="G492" s="105" t="s">
        <v>115</v>
      </c>
      <c r="H492" s="105"/>
      <c r="I492" s="104">
        <v>24</v>
      </c>
      <c r="J492" s="104">
        <v>1480</v>
      </c>
      <c r="K492" s="118">
        <v>3</v>
      </c>
      <c r="L492" s="118" t="s">
        <v>39</v>
      </c>
      <c r="M492" s="142">
        <f>J492*K492/1000</f>
        <v>4.4400000000000004</v>
      </c>
      <c r="N492" s="104"/>
      <c r="O492" s="162">
        <f>VLOOKUP(I492,BM!$B$3:$Y$62,23,FALSE)</f>
        <v>11.2</v>
      </c>
      <c r="P492" s="104" t="s">
        <v>112</v>
      </c>
      <c r="Q492" s="150">
        <f t="shared" si="102"/>
        <v>49.728000000000002</v>
      </c>
      <c r="R492" s="148">
        <v>1</v>
      </c>
      <c r="S492" s="150">
        <f t="shared" si="103"/>
        <v>50.728000000000002</v>
      </c>
      <c r="T492" s="152" t="s">
        <v>48</v>
      </c>
    </row>
    <row r="493" spans="3:21" ht="20.25" customHeight="1">
      <c r="C493" s="96"/>
      <c r="D493" s="102">
        <f t="shared" si="100"/>
        <v>493</v>
      </c>
      <c r="E493" s="106" t="s">
        <v>492</v>
      </c>
      <c r="F493" s="108">
        <f t="shared" si="104"/>
        <v>492</v>
      </c>
      <c r="G493" s="105" t="s">
        <v>121</v>
      </c>
      <c r="H493" s="105"/>
      <c r="I493" s="104">
        <v>12</v>
      </c>
      <c r="J493" s="132" t="s">
        <v>493</v>
      </c>
      <c r="K493" s="118">
        <v>1</v>
      </c>
      <c r="L493" s="118" t="s">
        <v>39</v>
      </c>
      <c r="M493" s="128">
        <f>LEFT(J493,SEARCH(" ",J493,1)-1)*K493/1000</f>
        <v>12.31</v>
      </c>
      <c r="N493" s="104" t="s">
        <v>39</v>
      </c>
      <c r="O493" s="162">
        <f>VLOOKUP(I493,BM!$B$3:$Y$62,22,FALSE)</f>
        <v>1.6</v>
      </c>
      <c r="P493" s="104" t="s">
        <v>112</v>
      </c>
      <c r="Q493" s="150">
        <f t="shared" si="102"/>
        <v>19.696000000000002</v>
      </c>
      <c r="R493" s="148">
        <v>1</v>
      </c>
      <c r="S493" s="150">
        <f t="shared" si="103"/>
        <v>20.696000000000002</v>
      </c>
      <c r="T493" s="152" t="s">
        <v>48</v>
      </c>
      <c r="U493" s="87">
        <f>(1231*10)</f>
        <v>12310</v>
      </c>
    </row>
    <row r="494" spans="3:21" ht="20.25" customHeight="1">
      <c r="C494" s="96">
        <f>D494</f>
        <v>494</v>
      </c>
      <c r="D494" s="102">
        <f t="shared" si="100"/>
        <v>494</v>
      </c>
      <c r="E494" s="103" t="s">
        <v>771</v>
      </c>
      <c r="F494" s="108">
        <f>D491</f>
        <v>491</v>
      </c>
      <c r="G494" s="105"/>
      <c r="H494" s="105"/>
      <c r="I494" s="104"/>
      <c r="J494" s="104"/>
      <c r="K494" s="118"/>
      <c r="L494" s="118"/>
      <c r="M494" s="119"/>
      <c r="N494" s="104"/>
      <c r="O494" s="120"/>
      <c r="P494" s="104"/>
      <c r="Q494" s="150"/>
      <c r="R494" s="148"/>
      <c r="S494" s="150"/>
      <c r="T494" s="149"/>
    </row>
    <row r="495" spans="3:21" ht="20.25" customHeight="1">
      <c r="C495" s="96"/>
      <c r="D495" s="102">
        <f t="shared" si="100"/>
        <v>495</v>
      </c>
      <c r="E495" s="106" t="s">
        <v>495</v>
      </c>
      <c r="F495" s="108">
        <f t="shared" si="104"/>
        <v>494</v>
      </c>
      <c r="G495" s="105" t="s">
        <v>44</v>
      </c>
      <c r="H495" s="105"/>
      <c r="I495" s="104">
        <v>18</v>
      </c>
      <c r="J495" s="104" t="s">
        <v>496</v>
      </c>
      <c r="K495" s="118">
        <v>1</v>
      </c>
      <c r="L495" s="118" t="s">
        <v>39</v>
      </c>
      <c r="M495" s="119">
        <v>1</v>
      </c>
      <c r="N495" s="104" t="s">
        <v>39</v>
      </c>
      <c r="O495" s="120">
        <v>4</v>
      </c>
      <c r="P495" s="104" t="s">
        <v>112</v>
      </c>
      <c r="Q495" s="150">
        <f t="shared" si="102"/>
        <v>4</v>
      </c>
      <c r="R495" s="148">
        <v>1</v>
      </c>
      <c r="S495" s="150">
        <f t="shared" si="103"/>
        <v>5</v>
      </c>
      <c r="T495" s="152" t="s">
        <v>48</v>
      </c>
    </row>
    <row r="496" spans="3:21" ht="20.25" customHeight="1">
      <c r="C496" s="96"/>
      <c r="D496" s="102">
        <f t="shared" si="100"/>
        <v>496</v>
      </c>
      <c r="E496" s="106" t="s">
        <v>497</v>
      </c>
      <c r="F496" s="108">
        <f t="shared" si="104"/>
        <v>495</v>
      </c>
      <c r="G496" s="105" t="s">
        <v>498</v>
      </c>
      <c r="H496" s="105"/>
      <c r="I496" s="104">
        <v>18</v>
      </c>
      <c r="J496" s="104" t="s">
        <v>499</v>
      </c>
      <c r="K496" s="118">
        <v>1</v>
      </c>
      <c r="L496" s="118" t="s">
        <v>39</v>
      </c>
      <c r="M496" s="119">
        <v>1</v>
      </c>
      <c r="N496" s="104" t="s">
        <v>39</v>
      </c>
      <c r="O496" s="120">
        <v>4</v>
      </c>
      <c r="P496" s="104" t="s">
        <v>112</v>
      </c>
      <c r="Q496" s="150">
        <f t="shared" si="102"/>
        <v>4</v>
      </c>
      <c r="R496" s="148">
        <v>1</v>
      </c>
      <c r="S496" s="150">
        <f t="shared" si="103"/>
        <v>5</v>
      </c>
      <c r="T496" s="152" t="s">
        <v>48</v>
      </c>
    </row>
    <row r="497" spans="3:20" ht="20.25" customHeight="1">
      <c r="C497" s="96"/>
      <c r="D497" s="102">
        <f t="shared" si="100"/>
        <v>497</v>
      </c>
      <c r="E497" s="106" t="s">
        <v>500</v>
      </c>
      <c r="F497" s="108">
        <f t="shared" si="104"/>
        <v>496</v>
      </c>
      <c r="G497" s="105" t="s">
        <v>115</v>
      </c>
      <c r="H497" s="105"/>
      <c r="I497" s="104">
        <v>12</v>
      </c>
      <c r="J497" s="104">
        <v>6</v>
      </c>
      <c r="K497" s="118">
        <v>1</v>
      </c>
      <c r="L497" s="118" t="s">
        <v>39</v>
      </c>
      <c r="M497" s="142">
        <f>J497*K497</f>
        <v>6</v>
      </c>
      <c r="N497" s="104" t="s">
        <v>139</v>
      </c>
      <c r="O497" s="162">
        <f>VLOOKUP(I497,BM!$B$3:$Y$62,22,FALSE)</f>
        <v>1.6</v>
      </c>
      <c r="P497" s="104" t="s">
        <v>112</v>
      </c>
      <c r="Q497" s="150">
        <f t="shared" si="102"/>
        <v>9.6000000000000014</v>
      </c>
      <c r="R497" s="148">
        <v>1</v>
      </c>
      <c r="S497" s="150">
        <f t="shared" si="103"/>
        <v>10.600000000000001</v>
      </c>
      <c r="T497" s="152" t="s">
        <v>48</v>
      </c>
    </row>
    <row r="498" spans="3:20" ht="20.25" customHeight="1">
      <c r="C498" s="96">
        <f>D498</f>
        <v>498</v>
      </c>
      <c r="D498" s="102">
        <f t="shared" si="100"/>
        <v>498</v>
      </c>
      <c r="E498" s="103" t="s">
        <v>772</v>
      </c>
      <c r="F498" s="108">
        <f>D494</f>
        <v>494</v>
      </c>
      <c r="G498" s="105"/>
      <c r="H498" s="105"/>
      <c r="I498" s="104"/>
      <c r="J498" s="104"/>
      <c r="K498" s="118"/>
      <c r="L498" s="118"/>
      <c r="M498" s="119"/>
      <c r="N498" s="104"/>
      <c r="O498" s="120"/>
      <c r="P498" s="104"/>
      <c r="Q498" s="150"/>
      <c r="R498" s="148"/>
      <c r="S498" s="150"/>
      <c r="T498" s="149"/>
    </row>
    <row r="499" spans="3:20" ht="20.25" customHeight="1">
      <c r="C499" s="96"/>
      <c r="D499" s="102">
        <f t="shared" si="100"/>
        <v>499</v>
      </c>
      <c r="E499" s="106" t="s">
        <v>502</v>
      </c>
      <c r="F499" s="108">
        <f t="shared" si="104"/>
        <v>498</v>
      </c>
      <c r="G499" s="105" t="s">
        <v>149</v>
      </c>
      <c r="H499" s="105"/>
      <c r="I499" s="104">
        <v>18</v>
      </c>
      <c r="J499" s="104" t="s">
        <v>503</v>
      </c>
      <c r="K499" s="118">
        <v>1</v>
      </c>
      <c r="L499" s="118" t="s">
        <v>39</v>
      </c>
      <c r="M499" s="119">
        <v>1</v>
      </c>
      <c r="N499" s="104" t="s">
        <v>39</v>
      </c>
      <c r="O499" s="120">
        <v>8</v>
      </c>
      <c r="P499" s="104" t="s">
        <v>112</v>
      </c>
      <c r="Q499" s="150">
        <f t="shared" si="102"/>
        <v>8</v>
      </c>
      <c r="R499" s="148">
        <v>1</v>
      </c>
      <c r="S499" s="150">
        <f t="shared" si="103"/>
        <v>9</v>
      </c>
      <c r="T499" s="152" t="s">
        <v>48</v>
      </c>
    </row>
    <row r="500" spans="3:20" ht="20.25" customHeight="1">
      <c r="C500" s="96"/>
      <c r="D500" s="102">
        <f t="shared" si="100"/>
        <v>500</v>
      </c>
      <c r="E500" s="106" t="s">
        <v>504</v>
      </c>
      <c r="F500" s="108">
        <f t="shared" si="104"/>
        <v>499</v>
      </c>
      <c r="G500" s="105" t="s">
        <v>63</v>
      </c>
      <c r="H500" s="105"/>
      <c r="I500" s="104">
        <v>18</v>
      </c>
      <c r="J500" s="104" t="s">
        <v>503</v>
      </c>
      <c r="K500" s="118">
        <v>1</v>
      </c>
      <c r="L500" s="118" t="s">
        <v>39</v>
      </c>
      <c r="M500" s="119">
        <v>1</v>
      </c>
      <c r="N500" s="104" t="s">
        <v>39</v>
      </c>
      <c r="O500" s="120">
        <v>1</v>
      </c>
      <c r="P500" s="104" t="s">
        <v>41</v>
      </c>
      <c r="Q500" s="150">
        <f t="shared" si="102"/>
        <v>1</v>
      </c>
      <c r="R500" s="148"/>
      <c r="S500" s="150">
        <f t="shared" si="103"/>
        <v>1</v>
      </c>
      <c r="T500" s="152" t="str">
        <f>T499</f>
        <v>Hrs</v>
      </c>
    </row>
    <row r="501" spans="3:20" ht="20.25" customHeight="1">
      <c r="C501" s="96">
        <f t="shared" ref="C501:C502" si="105">D501</f>
        <v>501</v>
      </c>
      <c r="D501" s="102">
        <f t="shared" si="100"/>
        <v>501</v>
      </c>
      <c r="E501" s="163" t="s">
        <v>505</v>
      </c>
      <c r="F501" s="108">
        <f>D498</f>
        <v>498</v>
      </c>
      <c r="G501" s="105"/>
      <c r="H501" s="105"/>
      <c r="I501" s="104"/>
      <c r="J501" s="104"/>
      <c r="K501" s="118"/>
      <c r="L501" s="118"/>
      <c r="M501" s="119"/>
      <c r="N501" s="104"/>
      <c r="O501" s="120"/>
      <c r="P501" s="104"/>
      <c r="Q501" s="150"/>
      <c r="R501" s="148"/>
      <c r="S501" s="150"/>
      <c r="T501" s="149"/>
    </row>
    <row r="502" spans="3:20" ht="20.25" customHeight="1">
      <c r="C502" s="96">
        <f t="shared" si="105"/>
        <v>502</v>
      </c>
      <c r="D502" s="102">
        <f t="shared" si="100"/>
        <v>502</v>
      </c>
      <c r="E502" s="103" t="s">
        <v>506</v>
      </c>
      <c r="F502" s="108">
        <f>D7</f>
        <v>7</v>
      </c>
      <c r="G502" s="105"/>
      <c r="H502" s="105"/>
      <c r="I502" s="104"/>
      <c r="J502" s="104"/>
      <c r="K502" s="118">
        <v>1</v>
      </c>
      <c r="L502" s="141" t="s">
        <v>39</v>
      </c>
      <c r="M502" s="119">
        <v>1</v>
      </c>
      <c r="N502" s="132" t="s">
        <v>39</v>
      </c>
      <c r="O502" s="120">
        <v>4</v>
      </c>
      <c r="P502" s="132" t="s">
        <v>41</v>
      </c>
      <c r="Q502" s="150">
        <f t="shared" si="102"/>
        <v>4</v>
      </c>
      <c r="R502" s="148"/>
      <c r="S502" s="150">
        <f t="shared" si="103"/>
        <v>4</v>
      </c>
      <c r="T502" s="152" t="s">
        <v>162</v>
      </c>
    </row>
    <row r="503" spans="3:20" ht="20.25" customHeight="1">
      <c r="C503" s="96"/>
      <c r="D503" s="102">
        <f t="shared" si="100"/>
        <v>503</v>
      </c>
      <c r="E503" s="106" t="s">
        <v>507</v>
      </c>
      <c r="F503" s="108">
        <f t="shared" si="104"/>
        <v>502</v>
      </c>
      <c r="G503" s="105" t="s">
        <v>37</v>
      </c>
      <c r="H503" s="105"/>
      <c r="I503" s="104">
        <v>18</v>
      </c>
      <c r="J503" s="132" t="s">
        <v>508</v>
      </c>
      <c r="K503" s="118">
        <v>1</v>
      </c>
      <c r="L503" s="118" t="s">
        <v>81</v>
      </c>
      <c r="M503" s="128">
        <f>LEFT(J503,SEARCH(" ",J503,1)-1)*K503/1000</f>
        <v>0.373</v>
      </c>
      <c r="N503" s="104" t="s">
        <v>139</v>
      </c>
      <c r="O503" s="162">
        <f>VLOOKUP(I503,BM!$B$3:$Y$62,2,FALSE)</f>
        <v>0.1</v>
      </c>
      <c r="P503" s="104" t="s">
        <v>47</v>
      </c>
      <c r="Q503" s="150">
        <f t="shared" si="102"/>
        <v>3.73E-2</v>
      </c>
      <c r="R503" s="148">
        <v>1</v>
      </c>
      <c r="S503" s="150">
        <f t="shared" si="103"/>
        <v>1.0373000000000001</v>
      </c>
      <c r="T503" s="152" t="s">
        <v>162</v>
      </c>
    </row>
    <row r="504" spans="3:20" ht="20.25" customHeight="1">
      <c r="C504" s="96"/>
      <c r="D504" s="102">
        <f t="shared" si="100"/>
        <v>504</v>
      </c>
      <c r="E504" s="106" t="s">
        <v>509</v>
      </c>
      <c r="F504" s="108">
        <f t="shared" si="104"/>
        <v>503</v>
      </c>
      <c r="G504" s="105" t="s">
        <v>201</v>
      </c>
      <c r="H504" s="105"/>
      <c r="I504" s="104">
        <v>18</v>
      </c>
      <c r="J504" s="132" t="s">
        <v>510</v>
      </c>
      <c r="K504" s="118">
        <v>1</v>
      </c>
      <c r="L504" s="118" t="s">
        <v>81</v>
      </c>
      <c r="M504" s="128">
        <f t="shared" ref="M504:M508" si="106">LEFT(J504,SEARCH(" ",J504,1)-1)*K504/1000</f>
        <v>11.3</v>
      </c>
      <c r="N504" s="104" t="s">
        <v>139</v>
      </c>
      <c r="O504" s="162">
        <f>VLOOKUP(I504,BM!$B$3:$Y$62,3,FALSE)</f>
        <v>0.25</v>
      </c>
      <c r="P504" s="104" t="s">
        <v>47</v>
      </c>
      <c r="Q504" s="150">
        <f t="shared" si="102"/>
        <v>2.8250000000000002</v>
      </c>
      <c r="R504" s="148">
        <v>1</v>
      </c>
      <c r="S504" s="150">
        <f t="shared" si="103"/>
        <v>3.8250000000000002</v>
      </c>
      <c r="T504" s="152" t="s">
        <v>162</v>
      </c>
    </row>
    <row r="505" spans="3:20" ht="20.25" customHeight="1">
      <c r="C505" s="96"/>
      <c r="D505" s="102">
        <f t="shared" si="100"/>
        <v>505</v>
      </c>
      <c r="E505" s="106" t="s">
        <v>511</v>
      </c>
      <c r="F505" s="108">
        <f t="shared" si="104"/>
        <v>504</v>
      </c>
      <c r="G505" s="105" t="s">
        <v>52</v>
      </c>
      <c r="H505" s="105"/>
      <c r="I505" s="104">
        <v>18</v>
      </c>
      <c r="J505" s="104" t="str">
        <f t="shared" ref="J505:J508" si="107">J504</f>
        <v>11300 mm</v>
      </c>
      <c r="K505" s="118">
        <v>1</v>
      </c>
      <c r="L505" s="118" t="s">
        <v>81</v>
      </c>
      <c r="M505" s="128">
        <f t="shared" si="106"/>
        <v>11.3</v>
      </c>
      <c r="N505" s="104" t="s">
        <v>139</v>
      </c>
      <c r="O505" s="162">
        <f>VLOOKUP(I505,BM!$B$3:$Y$62,4,FALSE)</f>
        <v>0.15</v>
      </c>
      <c r="P505" s="104" t="s">
        <v>47</v>
      </c>
      <c r="Q505" s="150">
        <f t="shared" si="102"/>
        <v>1.6950000000000001</v>
      </c>
      <c r="R505" s="148">
        <v>1</v>
      </c>
      <c r="S505" s="150">
        <f t="shared" si="103"/>
        <v>2.6950000000000003</v>
      </c>
      <c r="T505" s="152" t="s">
        <v>162</v>
      </c>
    </row>
    <row r="506" spans="3:20" ht="20.25" customHeight="1">
      <c r="C506" s="96"/>
      <c r="D506" s="102">
        <f t="shared" si="100"/>
        <v>506</v>
      </c>
      <c r="E506" s="106" t="s">
        <v>512</v>
      </c>
      <c r="F506" s="108">
        <f t="shared" si="104"/>
        <v>505</v>
      </c>
      <c r="G506" s="105" t="s">
        <v>61</v>
      </c>
      <c r="H506" s="105"/>
      <c r="I506" s="104">
        <v>18</v>
      </c>
      <c r="J506" s="104" t="str">
        <f t="shared" si="107"/>
        <v>11300 mm</v>
      </c>
      <c r="K506" s="118">
        <v>1</v>
      </c>
      <c r="L506" s="118" t="s">
        <v>81</v>
      </c>
      <c r="M506" s="128">
        <f t="shared" si="106"/>
        <v>11.3</v>
      </c>
      <c r="N506" s="104" t="s">
        <v>139</v>
      </c>
      <c r="O506" s="162">
        <f>VLOOKUP(I506,BM!$B$3:$Y$62,5,FALSE)</f>
        <v>0.5</v>
      </c>
      <c r="P506" s="104" t="s">
        <v>47</v>
      </c>
      <c r="Q506" s="150">
        <f t="shared" si="102"/>
        <v>5.65</v>
      </c>
      <c r="R506" s="148">
        <v>1</v>
      </c>
      <c r="S506" s="150">
        <f t="shared" si="103"/>
        <v>6.65</v>
      </c>
      <c r="T506" s="152" t="s">
        <v>162</v>
      </c>
    </row>
    <row r="507" spans="3:20" ht="20.25" customHeight="1">
      <c r="C507" s="96"/>
      <c r="D507" s="102">
        <f t="shared" si="100"/>
        <v>507</v>
      </c>
      <c r="E507" s="106" t="s">
        <v>513</v>
      </c>
      <c r="F507" s="108">
        <f t="shared" si="104"/>
        <v>506</v>
      </c>
      <c r="G507" s="105" t="s">
        <v>224</v>
      </c>
      <c r="H507" s="105"/>
      <c r="I507" s="104">
        <v>18</v>
      </c>
      <c r="J507" s="104" t="str">
        <f t="shared" si="107"/>
        <v>11300 mm</v>
      </c>
      <c r="K507" s="118">
        <v>1</v>
      </c>
      <c r="L507" s="118" t="s">
        <v>81</v>
      </c>
      <c r="M507" s="128">
        <f t="shared" si="106"/>
        <v>11.3</v>
      </c>
      <c r="N507" s="104" t="s">
        <v>139</v>
      </c>
      <c r="O507" s="162">
        <f>VLOOKUP(I507,BM!$B$3:$Y$62,6,FALSE)</f>
        <v>1</v>
      </c>
      <c r="P507" s="104" t="s">
        <v>47</v>
      </c>
      <c r="Q507" s="150">
        <f t="shared" si="102"/>
        <v>11.3</v>
      </c>
      <c r="R507" s="148">
        <v>1</v>
      </c>
      <c r="S507" s="150">
        <f t="shared" si="103"/>
        <v>12.3</v>
      </c>
      <c r="T507" s="152" t="s">
        <v>162</v>
      </c>
    </row>
    <row r="508" spans="3:20" ht="20.25" customHeight="1">
      <c r="C508" s="96"/>
      <c r="D508" s="102">
        <f t="shared" si="100"/>
        <v>508</v>
      </c>
      <c r="E508" s="106" t="s">
        <v>416</v>
      </c>
      <c r="F508" s="108">
        <f t="shared" si="104"/>
        <v>507</v>
      </c>
      <c r="G508" s="105" t="s">
        <v>61</v>
      </c>
      <c r="H508" s="105"/>
      <c r="I508" s="104">
        <v>18</v>
      </c>
      <c r="J508" s="104" t="str">
        <f t="shared" si="107"/>
        <v>11300 mm</v>
      </c>
      <c r="K508" s="118">
        <v>1</v>
      </c>
      <c r="L508" s="118" t="s">
        <v>81</v>
      </c>
      <c r="M508" s="128">
        <f t="shared" si="106"/>
        <v>11.3</v>
      </c>
      <c r="N508" s="104" t="s">
        <v>139</v>
      </c>
      <c r="O508" s="162">
        <f>VLOOKUP(I508,BM!$B$3:$Y$62,6,FALSE)</f>
        <v>1</v>
      </c>
      <c r="P508" s="104" t="s">
        <v>47</v>
      </c>
      <c r="Q508" s="150">
        <f t="shared" si="102"/>
        <v>11.3</v>
      </c>
      <c r="R508" s="148">
        <v>1</v>
      </c>
      <c r="S508" s="150">
        <f t="shared" si="103"/>
        <v>12.3</v>
      </c>
      <c r="T508" s="152" t="s">
        <v>162</v>
      </c>
    </row>
    <row r="509" spans="3:20" ht="20.25" customHeight="1">
      <c r="C509" s="96">
        <f>D509</f>
        <v>509</v>
      </c>
      <c r="D509" s="102">
        <f t="shared" si="100"/>
        <v>509</v>
      </c>
      <c r="E509" s="103" t="s">
        <v>773</v>
      </c>
      <c r="F509" s="108">
        <f>D502</f>
        <v>502</v>
      </c>
      <c r="G509" s="105"/>
      <c r="H509" s="105"/>
      <c r="I509" s="104"/>
      <c r="J509" s="104"/>
      <c r="K509" s="118"/>
      <c r="L509" s="118"/>
      <c r="M509" s="119"/>
      <c r="N509" s="104"/>
      <c r="O509" s="120"/>
      <c r="P509" s="104"/>
      <c r="Q509" s="150"/>
      <c r="R509" s="148"/>
      <c r="S509" s="150"/>
      <c r="T509" s="149"/>
    </row>
    <row r="510" spans="3:20" ht="20.25" customHeight="1">
      <c r="C510" s="96"/>
      <c r="D510" s="102">
        <f t="shared" si="100"/>
        <v>510</v>
      </c>
      <c r="E510" s="106" t="s">
        <v>515</v>
      </c>
      <c r="F510" s="108">
        <f t="shared" si="104"/>
        <v>509</v>
      </c>
      <c r="G510" s="105" t="s">
        <v>286</v>
      </c>
      <c r="H510" s="105"/>
      <c r="I510" s="108">
        <f>I508</f>
        <v>18</v>
      </c>
      <c r="J510" s="112" t="s">
        <v>516</v>
      </c>
      <c r="K510" s="118">
        <v>1</v>
      </c>
      <c r="L510" s="118" t="s">
        <v>81</v>
      </c>
      <c r="M510" s="119">
        <v>1</v>
      </c>
      <c r="N510" s="104" t="s">
        <v>139</v>
      </c>
      <c r="O510" s="120">
        <v>3</v>
      </c>
      <c r="P510" s="104" t="s">
        <v>112</v>
      </c>
      <c r="Q510" s="150">
        <f t="shared" si="102"/>
        <v>3</v>
      </c>
      <c r="R510" s="148">
        <v>1</v>
      </c>
      <c r="S510" s="150">
        <f t="shared" si="103"/>
        <v>4</v>
      </c>
      <c r="T510" s="152" t="s">
        <v>162</v>
      </c>
    </row>
    <row r="511" spans="3:20" ht="20.25" customHeight="1">
      <c r="C511" s="96"/>
      <c r="D511" s="102">
        <f t="shared" si="100"/>
        <v>511</v>
      </c>
      <c r="E511" s="106" t="s">
        <v>517</v>
      </c>
      <c r="F511" s="108">
        <f t="shared" si="104"/>
        <v>510</v>
      </c>
      <c r="G511" s="105" t="s">
        <v>420</v>
      </c>
      <c r="H511" s="105"/>
      <c r="I511" s="108">
        <f t="shared" ref="I511:J513" si="108">I510</f>
        <v>18</v>
      </c>
      <c r="J511" s="108" t="str">
        <f t="shared" si="108"/>
        <v>1664 mm id</v>
      </c>
      <c r="K511" s="118">
        <v>1</v>
      </c>
      <c r="L511" s="118" t="s">
        <v>81</v>
      </c>
      <c r="M511" s="128">
        <f>LEFT(J511,SEARCH(" ",J511,1)-1)*K511*2/1000</f>
        <v>3.3279999999999998</v>
      </c>
      <c r="N511" s="132" t="s">
        <v>39</v>
      </c>
      <c r="O511" s="162">
        <f>VLOOKUP(I511,BM!$B$3:$Y$62,8,FALSE)</f>
        <v>0.3</v>
      </c>
      <c r="P511" s="104" t="s">
        <v>112</v>
      </c>
      <c r="Q511" s="150">
        <f t="shared" si="102"/>
        <v>0.99839999999999995</v>
      </c>
      <c r="R511" s="148">
        <v>1</v>
      </c>
      <c r="S511" s="150">
        <f t="shared" si="103"/>
        <v>1.9984</v>
      </c>
      <c r="T511" s="152" t="s">
        <v>162</v>
      </c>
    </row>
    <row r="512" spans="3:20" ht="20.25" customHeight="1">
      <c r="C512" s="96"/>
      <c r="D512" s="102">
        <f t="shared" si="100"/>
        <v>512</v>
      </c>
      <c r="E512" s="106" t="s">
        <v>518</v>
      </c>
      <c r="F512" s="108">
        <f t="shared" si="104"/>
        <v>511</v>
      </c>
      <c r="G512" s="105" t="s">
        <v>348</v>
      </c>
      <c r="H512" s="105"/>
      <c r="I512" s="108">
        <f t="shared" si="108"/>
        <v>18</v>
      </c>
      <c r="J512" s="108" t="str">
        <f t="shared" si="108"/>
        <v>1664 mm id</v>
      </c>
      <c r="K512" s="118">
        <v>1</v>
      </c>
      <c r="L512" s="118" t="s">
        <v>81</v>
      </c>
      <c r="M512" s="128">
        <f>LEFT(J512,SEARCH(" ",J512,1)-1)*K512*2/1000</f>
        <v>3.3279999999999998</v>
      </c>
      <c r="N512" s="104" t="s">
        <v>139</v>
      </c>
      <c r="O512" s="162">
        <f>VLOOKUP(I512,BM!$B$3:$Y$62,9,FALSE)</f>
        <v>1</v>
      </c>
      <c r="P512" s="104" t="s">
        <v>112</v>
      </c>
      <c r="Q512" s="150">
        <f t="shared" si="102"/>
        <v>3.3279999999999998</v>
      </c>
      <c r="R512" s="148">
        <v>1</v>
      </c>
      <c r="S512" s="150">
        <f t="shared" si="103"/>
        <v>4.3279999999999994</v>
      </c>
      <c r="T512" s="152" t="s">
        <v>162</v>
      </c>
    </row>
    <row r="513" spans="3:20" ht="20.25" customHeight="1">
      <c r="C513" s="96"/>
      <c r="D513" s="102">
        <f t="shared" si="100"/>
        <v>513</v>
      </c>
      <c r="E513" s="106" t="s">
        <v>519</v>
      </c>
      <c r="F513" s="108">
        <f t="shared" si="104"/>
        <v>512</v>
      </c>
      <c r="G513" s="105" t="s">
        <v>286</v>
      </c>
      <c r="H513" s="105"/>
      <c r="I513" s="108">
        <f t="shared" si="108"/>
        <v>18</v>
      </c>
      <c r="J513" s="108" t="str">
        <f t="shared" si="108"/>
        <v>1664 mm id</v>
      </c>
      <c r="K513" s="118">
        <v>1</v>
      </c>
      <c r="L513" s="118" t="s">
        <v>81</v>
      </c>
      <c r="M513" s="128">
        <v>1</v>
      </c>
      <c r="N513" s="132" t="s">
        <v>39</v>
      </c>
      <c r="O513" s="120">
        <v>3</v>
      </c>
      <c r="P513" s="104" t="s">
        <v>112</v>
      </c>
      <c r="Q513" s="150">
        <f t="shared" si="102"/>
        <v>3</v>
      </c>
      <c r="R513" s="148">
        <v>1</v>
      </c>
      <c r="S513" s="150">
        <f t="shared" si="103"/>
        <v>4</v>
      </c>
      <c r="T513" s="152" t="s">
        <v>162</v>
      </c>
    </row>
    <row r="514" spans="3:20" ht="20.25" customHeight="1">
      <c r="C514" s="96">
        <f>D514</f>
        <v>514</v>
      </c>
      <c r="D514" s="102">
        <f t="shared" si="100"/>
        <v>514</v>
      </c>
      <c r="E514" s="103" t="s">
        <v>520</v>
      </c>
      <c r="F514" s="108">
        <f>D509</f>
        <v>509</v>
      </c>
      <c r="G514" s="105"/>
      <c r="H514" s="105"/>
      <c r="I514" s="104"/>
      <c r="J514" s="104"/>
      <c r="K514" s="118"/>
      <c r="L514" s="118"/>
      <c r="M514" s="119"/>
      <c r="N514" s="104"/>
      <c r="O514" s="120"/>
      <c r="P514" s="104"/>
      <c r="Q514" s="150"/>
      <c r="R514" s="148"/>
      <c r="S514" s="150"/>
      <c r="T514" s="149"/>
    </row>
    <row r="515" spans="3:20" ht="20.25" customHeight="1">
      <c r="C515" s="96"/>
      <c r="D515" s="102">
        <f t="shared" ref="D515:D578" si="109">D514+1</f>
        <v>515</v>
      </c>
      <c r="E515" s="106" t="s">
        <v>521</v>
      </c>
      <c r="F515" s="108">
        <f t="shared" si="104"/>
        <v>514</v>
      </c>
      <c r="G515" s="105" t="s">
        <v>348</v>
      </c>
      <c r="H515" s="105"/>
      <c r="I515" s="108">
        <f>I513</f>
        <v>18</v>
      </c>
      <c r="J515" s="108" t="str">
        <f>J513</f>
        <v>1664 mm id</v>
      </c>
      <c r="K515" s="118">
        <v>1</v>
      </c>
      <c r="L515" s="118" t="s">
        <v>81</v>
      </c>
      <c r="M515" s="128">
        <f t="shared" ref="M515" si="110">LEFT(J515,SEARCH(" ",J515,1)-1)*K515*2/1000</f>
        <v>3.3279999999999998</v>
      </c>
      <c r="N515" s="104" t="s">
        <v>139</v>
      </c>
      <c r="O515" s="162">
        <f>VLOOKUP(I515,BM!$B$3:$Y$62,9,FALSE)</f>
        <v>1</v>
      </c>
      <c r="P515" s="104" t="s">
        <v>112</v>
      </c>
      <c r="Q515" s="150">
        <f t="shared" si="102"/>
        <v>3.3279999999999998</v>
      </c>
      <c r="R515" s="148">
        <v>1</v>
      </c>
      <c r="S515" s="150">
        <f t="shared" si="103"/>
        <v>4.3279999999999994</v>
      </c>
      <c r="T515" s="152" t="s">
        <v>162</v>
      </c>
    </row>
    <row r="516" spans="3:20" ht="20.25" customHeight="1">
      <c r="C516" s="96"/>
      <c r="D516" s="102">
        <f t="shared" si="109"/>
        <v>516</v>
      </c>
      <c r="E516" s="106" t="s">
        <v>522</v>
      </c>
      <c r="F516" s="108">
        <f t="shared" si="104"/>
        <v>515</v>
      </c>
      <c r="G516" s="105" t="s">
        <v>111</v>
      </c>
      <c r="H516" s="105"/>
      <c r="I516" s="108">
        <f>I515</f>
        <v>18</v>
      </c>
      <c r="J516" s="108" t="str">
        <f>J513</f>
        <v>1664 mm id</v>
      </c>
      <c r="K516" s="118">
        <v>1</v>
      </c>
      <c r="L516" s="118" t="s">
        <v>81</v>
      </c>
      <c r="M516" s="128">
        <f>LEFT(J516,SEARCH(" ",J516,1)-1)*K516/1000</f>
        <v>1.6639999999999999</v>
      </c>
      <c r="N516" s="104" t="s">
        <v>139</v>
      </c>
      <c r="O516" s="162">
        <f>VLOOKUP(I516,BM!$B$3:$Y$62,10,FALSE)</f>
        <v>1</v>
      </c>
      <c r="P516" s="104" t="s">
        <v>112</v>
      </c>
      <c r="Q516" s="150">
        <f t="shared" si="102"/>
        <v>1.6639999999999999</v>
      </c>
      <c r="R516" s="148">
        <v>1</v>
      </c>
      <c r="S516" s="150">
        <f t="shared" si="103"/>
        <v>2.6639999999999997</v>
      </c>
      <c r="T516" s="152" t="s">
        <v>162</v>
      </c>
    </row>
    <row r="517" spans="3:20" ht="20.25" customHeight="1">
      <c r="C517" s="96">
        <f>D517</f>
        <v>517</v>
      </c>
      <c r="D517" s="102">
        <f t="shared" si="109"/>
        <v>517</v>
      </c>
      <c r="E517" s="103" t="s">
        <v>523</v>
      </c>
      <c r="F517" s="108">
        <f>D514</f>
        <v>514</v>
      </c>
      <c r="G517" s="105"/>
      <c r="H517" s="105"/>
      <c r="I517" s="104"/>
      <c r="J517" s="104"/>
      <c r="K517" s="118"/>
      <c r="L517" s="118"/>
      <c r="M517" s="119"/>
      <c r="N517" s="104"/>
      <c r="O517" s="120"/>
      <c r="P517" s="104"/>
      <c r="Q517" s="150"/>
      <c r="R517" s="148"/>
      <c r="S517" s="150"/>
      <c r="T517" s="149"/>
    </row>
    <row r="518" spans="3:20" ht="20.25" customHeight="1">
      <c r="C518" s="96"/>
      <c r="D518" s="102">
        <f t="shared" si="109"/>
        <v>518</v>
      </c>
      <c r="E518" s="106" t="s">
        <v>524</v>
      </c>
      <c r="F518" s="108">
        <f t="shared" si="104"/>
        <v>517</v>
      </c>
      <c r="G518" s="105" t="s">
        <v>201</v>
      </c>
      <c r="H518" s="105"/>
      <c r="I518" s="108">
        <f>I516</f>
        <v>18</v>
      </c>
      <c r="J518" s="108" t="str">
        <f t="shared" ref="J518" si="111">J516</f>
        <v>1664 mm id</v>
      </c>
      <c r="K518" s="118">
        <v>1</v>
      </c>
      <c r="L518" s="118" t="s">
        <v>81</v>
      </c>
      <c r="M518" s="119">
        <v>1</v>
      </c>
      <c r="N518" s="104" t="s">
        <v>39</v>
      </c>
      <c r="O518" s="120">
        <v>1</v>
      </c>
      <c r="P518" s="104" t="s">
        <v>112</v>
      </c>
      <c r="Q518" s="150">
        <f t="shared" si="102"/>
        <v>1</v>
      </c>
      <c r="R518" s="148">
        <v>1</v>
      </c>
      <c r="S518" s="150">
        <f t="shared" si="103"/>
        <v>2</v>
      </c>
      <c r="T518" s="152" t="s">
        <v>162</v>
      </c>
    </row>
    <row r="519" spans="3:20" ht="20.25" customHeight="1">
      <c r="C519" s="96"/>
      <c r="D519" s="102">
        <f t="shared" si="109"/>
        <v>519</v>
      </c>
      <c r="E519" s="106" t="s">
        <v>525</v>
      </c>
      <c r="F519" s="108">
        <f t="shared" si="104"/>
        <v>518</v>
      </c>
      <c r="G519" s="105" t="s">
        <v>115</v>
      </c>
      <c r="H519" s="105"/>
      <c r="I519" s="104">
        <v>12</v>
      </c>
      <c r="J519" s="108" t="str">
        <f t="shared" ref="J519:J523" si="112">J518</f>
        <v>1664 mm id</v>
      </c>
      <c r="K519" s="118">
        <v>1</v>
      </c>
      <c r="L519" s="118" t="s">
        <v>81</v>
      </c>
      <c r="M519" s="128">
        <f t="shared" ref="M519:M522" si="113">LEFT(J519,SEARCH(" ",J519,1)-1)*K519/1000</f>
        <v>1.6639999999999999</v>
      </c>
      <c r="N519" s="104" t="s">
        <v>139</v>
      </c>
      <c r="O519" s="162">
        <f>VLOOKUP(I519,BM!$B$3:$Y$62,12,FALSE)</f>
        <v>2.5</v>
      </c>
      <c r="P519" s="104" t="s">
        <v>112</v>
      </c>
      <c r="Q519" s="150">
        <f t="shared" si="102"/>
        <v>4.16</v>
      </c>
      <c r="R519" s="148">
        <v>1</v>
      </c>
      <c r="S519" s="150">
        <f t="shared" si="103"/>
        <v>5.16</v>
      </c>
      <c r="T519" s="152" t="s">
        <v>162</v>
      </c>
    </row>
    <row r="520" spans="3:20" ht="20.25" customHeight="1">
      <c r="C520" s="96"/>
      <c r="D520" s="102">
        <f t="shared" si="109"/>
        <v>520</v>
      </c>
      <c r="E520" s="106" t="s">
        <v>526</v>
      </c>
      <c r="F520" s="108">
        <f t="shared" si="104"/>
        <v>519</v>
      </c>
      <c r="G520" s="105" t="s">
        <v>121</v>
      </c>
      <c r="H520" s="105"/>
      <c r="I520" s="104">
        <v>18</v>
      </c>
      <c r="J520" s="108" t="str">
        <f t="shared" si="112"/>
        <v>1664 mm id</v>
      </c>
      <c r="K520" s="118">
        <v>1</v>
      </c>
      <c r="L520" s="118" t="s">
        <v>81</v>
      </c>
      <c r="M520" s="128">
        <f t="shared" si="113"/>
        <v>1.6639999999999999</v>
      </c>
      <c r="N520" s="104" t="s">
        <v>139</v>
      </c>
      <c r="O520" s="162">
        <f>VLOOKUP(I520,BM!$B$3:$Y$62,18,FALSE)</f>
        <v>1</v>
      </c>
      <c r="P520" s="104" t="s">
        <v>112</v>
      </c>
      <c r="Q520" s="150">
        <f t="shared" si="102"/>
        <v>1.6639999999999999</v>
      </c>
      <c r="R520" s="148">
        <v>1</v>
      </c>
      <c r="S520" s="150">
        <f t="shared" si="103"/>
        <v>2.6639999999999997</v>
      </c>
      <c r="T520" s="152" t="s">
        <v>162</v>
      </c>
    </row>
    <row r="521" spans="3:20" ht="20.25" customHeight="1">
      <c r="C521" s="96"/>
      <c r="D521" s="102">
        <f t="shared" si="109"/>
        <v>521</v>
      </c>
      <c r="E521" s="106" t="s">
        <v>527</v>
      </c>
      <c r="F521" s="108">
        <f t="shared" si="104"/>
        <v>520</v>
      </c>
      <c r="G521" s="105" t="s">
        <v>115</v>
      </c>
      <c r="H521" s="105"/>
      <c r="I521" s="104">
        <v>6</v>
      </c>
      <c r="J521" s="108" t="str">
        <f t="shared" si="112"/>
        <v>1664 mm id</v>
      </c>
      <c r="K521" s="118">
        <v>1</v>
      </c>
      <c r="L521" s="118" t="s">
        <v>81</v>
      </c>
      <c r="M521" s="128">
        <f t="shared" si="113"/>
        <v>1.6639999999999999</v>
      </c>
      <c r="N521" s="104" t="s">
        <v>139</v>
      </c>
      <c r="O521" s="162">
        <f>VLOOKUP(I521,BM!$B$3:$Y$62,12,FALSE)</f>
        <v>0.9</v>
      </c>
      <c r="P521" s="104" t="s">
        <v>112</v>
      </c>
      <c r="Q521" s="150">
        <f t="shared" si="102"/>
        <v>1.4976</v>
      </c>
      <c r="R521" s="148">
        <v>1</v>
      </c>
      <c r="S521" s="150">
        <f t="shared" si="103"/>
        <v>2.4976000000000003</v>
      </c>
      <c r="T521" s="152" t="s">
        <v>162</v>
      </c>
    </row>
    <row r="522" spans="3:20" ht="20.25" customHeight="1">
      <c r="C522" s="96"/>
      <c r="D522" s="102">
        <f t="shared" si="109"/>
        <v>522</v>
      </c>
      <c r="E522" s="106" t="s">
        <v>528</v>
      </c>
      <c r="F522" s="108">
        <f t="shared" si="104"/>
        <v>521</v>
      </c>
      <c r="G522" s="105" t="s">
        <v>61</v>
      </c>
      <c r="H522" s="105"/>
      <c r="I522" s="104">
        <v>6</v>
      </c>
      <c r="J522" s="108" t="str">
        <f t="shared" si="112"/>
        <v>1664 mm id</v>
      </c>
      <c r="K522" s="118">
        <v>1</v>
      </c>
      <c r="L522" s="118" t="s">
        <v>81</v>
      </c>
      <c r="M522" s="128">
        <f t="shared" si="113"/>
        <v>1.6639999999999999</v>
      </c>
      <c r="N522" s="104" t="s">
        <v>139</v>
      </c>
      <c r="O522" s="162">
        <f>VLOOKUP(I522,BM!$B$3:$Y$62,20,FALSE)</f>
        <v>0.5</v>
      </c>
      <c r="P522" s="104" t="s">
        <v>112</v>
      </c>
      <c r="Q522" s="150">
        <f t="shared" si="102"/>
        <v>0.83199999999999996</v>
      </c>
      <c r="R522" s="148">
        <v>1</v>
      </c>
      <c r="S522" s="150">
        <f t="shared" si="103"/>
        <v>1.8319999999999999</v>
      </c>
      <c r="T522" s="152" t="s">
        <v>162</v>
      </c>
    </row>
    <row r="523" spans="3:20" ht="20.25" customHeight="1">
      <c r="C523" s="96"/>
      <c r="D523" s="102">
        <f t="shared" si="109"/>
        <v>523</v>
      </c>
      <c r="E523" s="106" t="s">
        <v>529</v>
      </c>
      <c r="F523" s="108">
        <f t="shared" si="104"/>
        <v>522</v>
      </c>
      <c r="G523" s="105" t="s">
        <v>286</v>
      </c>
      <c r="H523" s="105"/>
      <c r="I523" s="104">
        <v>18</v>
      </c>
      <c r="J523" s="108" t="str">
        <f t="shared" si="112"/>
        <v>1664 mm id</v>
      </c>
      <c r="K523" s="118">
        <v>1</v>
      </c>
      <c r="L523" s="118" t="s">
        <v>81</v>
      </c>
      <c r="M523" s="119">
        <v>1</v>
      </c>
      <c r="N523" s="104" t="s">
        <v>139</v>
      </c>
      <c r="O523" s="120">
        <v>3</v>
      </c>
      <c r="P523" s="104" t="s">
        <v>112</v>
      </c>
      <c r="Q523" s="150">
        <f t="shared" si="102"/>
        <v>3</v>
      </c>
      <c r="R523" s="148">
        <v>1</v>
      </c>
      <c r="S523" s="150">
        <f t="shared" si="103"/>
        <v>4</v>
      </c>
      <c r="T523" s="152" t="s">
        <v>162</v>
      </c>
    </row>
    <row r="524" spans="3:20" ht="20.25" customHeight="1">
      <c r="C524" s="96">
        <f>D524</f>
        <v>524</v>
      </c>
      <c r="D524" s="102">
        <f t="shared" si="109"/>
        <v>524</v>
      </c>
      <c r="E524" s="103" t="s">
        <v>530</v>
      </c>
      <c r="F524" s="108">
        <f>D517</f>
        <v>517</v>
      </c>
      <c r="G524" s="105"/>
      <c r="H524" s="105"/>
      <c r="I524" s="104"/>
      <c r="J524" s="104"/>
      <c r="K524" s="118"/>
      <c r="L524" s="118"/>
      <c r="M524" s="119"/>
      <c r="N524" s="104"/>
      <c r="O524" s="120"/>
      <c r="P524" s="104"/>
      <c r="Q524" s="150"/>
      <c r="R524" s="148"/>
      <c r="S524" s="150"/>
      <c r="T524" s="149"/>
    </row>
    <row r="525" spans="3:20" ht="20.25" customHeight="1">
      <c r="C525" s="96"/>
      <c r="D525" s="102">
        <f t="shared" si="109"/>
        <v>525</v>
      </c>
      <c r="E525" s="106" t="s">
        <v>531</v>
      </c>
      <c r="F525" s="108">
        <f t="shared" si="104"/>
        <v>524</v>
      </c>
      <c r="G525" s="105" t="s">
        <v>312</v>
      </c>
      <c r="H525" s="105"/>
      <c r="I525" s="108">
        <f>I523</f>
        <v>18</v>
      </c>
      <c r="J525" s="108" t="str">
        <f t="shared" ref="J525:M525" si="114">J523</f>
        <v>1664 mm id</v>
      </c>
      <c r="K525" s="164">
        <f t="shared" si="114"/>
        <v>1</v>
      </c>
      <c r="L525" s="164" t="str">
        <f t="shared" si="114"/>
        <v>Nos</v>
      </c>
      <c r="M525" s="108">
        <f t="shared" si="114"/>
        <v>1</v>
      </c>
      <c r="N525" s="104" t="s">
        <v>39</v>
      </c>
      <c r="O525" s="120">
        <v>1</v>
      </c>
      <c r="P525" s="104" t="s">
        <v>41</v>
      </c>
      <c r="Q525" s="150">
        <f t="shared" si="102"/>
        <v>1</v>
      </c>
      <c r="R525" s="108"/>
      <c r="S525" s="150">
        <f t="shared" si="103"/>
        <v>1</v>
      </c>
      <c r="T525" s="132" t="s">
        <v>41</v>
      </c>
    </row>
    <row r="526" spans="3:20" ht="20.25" customHeight="1">
      <c r="C526" s="96">
        <f>D526</f>
        <v>526</v>
      </c>
      <c r="D526" s="102">
        <f t="shared" si="109"/>
        <v>526</v>
      </c>
      <c r="E526" s="103" t="s">
        <v>532</v>
      </c>
      <c r="F526" s="108">
        <f>D524</f>
        <v>524</v>
      </c>
      <c r="G526" s="105"/>
      <c r="H526" s="105"/>
      <c r="I526" s="104"/>
      <c r="J526" s="104"/>
      <c r="K526" s="118"/>
      <c r="L526" s="118"/>
      <c r="M526" s="119"/>
      <c r="N526" s="104"/>
      <c r="O526" s="120"/>
      <c r="P526" s="104"/>
      <c r="Q526" s="150"/>
      <c r="R526" s="148"/>
      <c r="S526" s="150"/>
      <c r="T526" s="149"/>
    </row>
    <row r="527" spans="3:20" ht="20.25" customHeight="1">
      <c r="C527" s="96"/>
      <c r="D527" s="102">
        <f t="shared" si="109"/>
        <v>527</v>
      </c>
      <c r="E527" s="106" t="s">
        <v>533</v>
      </c>
      <c r="F527" s="108">
        <f t="shared" si="104"/>
        <v>526</v>
      </c>
      <c r="G527" s="105" t="s">
        <v>348</v>
      </c>
      <c r="H527" s="105"/>
      <c r="I527" s="104">
        <v>18</v>
      </c>
      <c r="J527" s="108" t="str">
        <f>J525</f>
        <v>1664 mm id</v>
      </c>
      <c r="K527" s="118">
        <v>1</v>
      </c>
      <c r="L527" s="118" t="s">
        <v>81</v>
      </c>
      <c r="M527" s="128">
        <f>LEFT(J527,SEARCH(" ",J527,1)-1)*K527*3.142/1000</f>
        <v>5.2282879999999992</v>
      </c>
      <c r="N527" s="104" t="s">
        <v>139</v>
      </c>
      <c r="O527" s="162">
        <f>VLOOKUP(I527,BM!$B$3:$Y$62,15,FALSE)</f>
        <v>1</v>
      </c>
      <c r="P527" s="104" t="s">
        <v>112</v>
      </c>
      <c r="Q527" s="150">
        <f t="shared" si="102"/>
        <v>5.2282879999999992</v>
      </c>
      <c r="R527" s="148">
        <v>1</v>
      </c>
      <c r="S527" s="150">
        <f t="shared" si="103"/>
        <v>6.2282879999999992</v>
      </c>
      <c r="T527" s="152" t="s">
        <v>48</v>
      </c>
    </row>
    <row r="528" spans="3:20" ht="20.25" customHeight="1">
      <c r="C528" s="96"/>
      <c r="D528" s="102">
        <f t="shared" si="109"/>
        <v>528</v>
      </c>
      <c r="E528" s="106" t="s">
        <v>534</v>
      </c>
      <c r="F528" s="108">
        <f t="shared" si="104"/>
        <v>527</v>
      </c>
      <c r="G528" s="105" t="s">
        <v>111</v>
      </c>
      <c r="H528" s="105"/>
      <c r="I528" s="104">
        <v>18</v>
      </c>
      <c r="J528" s="108" t="str">
        <f>J527</f>
        <v>1664 mm id</v>
      </c>
      <c r="K528" s="118">
        <v>1</v>
      </c>
      <c r="L528" s="118" t="s">
        <v>81</v>
      </c>
      <c r="M528" s="128">
        <f>LEFT(J528,SEARCH(" ",J528,1)-1)*K528*3.142/1000</f>
        <v>5.2282879999999992</v>
      </c>
      <c r="N528" s="132" t="s">
        <v>39</v>
      </c>
      <c r="O528" s="162">
        <f>VLOOKUP(I528,BM!$B$3:$Y$62,16,FALSE)</f>
        <v>1</v>
      </c>
      <c r="P528" s="104" t="s">
        <v>112</v>
      </c>
      <c r="Q528" s="150">
        <f t="shared" si="102"/>
        <v>5.2282879999999992</v>
      </c>
      <c r="R528" s="148">
        <v>1</v>
      </c>
      <c r="S528" s="150">
        <f t="shared" si="103"/>
        <v>6.2282879999999992</v>
      </c>
      <c r="T528" s="152" t="s">
        <v>48</v>
      </c>
    </row>
    <row r="529" spans="3:20" ht="20.25" customHeight="1">
      <c r="C529" s="96"/>
      <c r="D529" s="102">
        <f t="shared" si="109"/>
        <v>529</v>
      </c>
      <c r="E529" s="106" t="s">
        <v>535</v>
      </c>
      <c r="F529" s="108">
        <f t="shared" si="104"/>
        <v>528</v>
      </c>
      <c r="G529" s="105" t="s">
        <v>44</v>
      </c>
      <c r="H529" s="105"/>
      <c r="I529" s="104">
        <v>18</v>
      </c>
      <c r="J529" s="108" t="str">
        <f>J528</f>
        <v>1664 mm id</v>
      </c>
      <c r="K529" s="118">
        <v>1</v>
      </c>
      <c r="L529" s="118" t="s">
        <v>81</v>
      </c>
      <c r="M529" s="128">
        <f t="shared" ref="M529" si="115">LEFT(J529,SEARCH(" ",J529,1)-1)*K529*3.142/1000</f>
        <v>5.2282879999999992</v>
      </c>
      <c r="N529" s="104" t="s">
        <v>50</v>
      </c>
      <c r="O529" s="120">
        <v>0.25</v>
      </c>
      <c r="P529" s="104" t="s">
        <v>112</v>
      </c>
      <c r="Q529" s="150">
        <f t="shared" si="102"/>
        <v>1.3070719999999998</v>
      </c>
      <c r="R529" s="148">
        <v>1</v>
      </c>
      <c r="S529" s="150">
        <f t="shared" si="103"/>
        <v>2.3070719999999998</v>
      </c>
      <c r="T529" s="152" t="s">
        <v>48</v>
      </c>
    </row>
    <row r="530" spans="3:20" ht="20.25" customHeight="1">
      <c r="C530" s="96">
        <f>D530</f>
        <v>530</v>
      </c>
      <c r="D530" s="102">
        <f t="shared" si="109"/>
        <v>530</v>
      </c>
      <c r="E530" s="103" t="s">
        <v>536</v>
      </c>
      <c r="F530" s="108">
        <f>D526</f>
        <v>526</v>
      </c>
      <c r="G530" s="105"/>
      <c r="H530" s="105"/>
      <c r="I530" s="104"/>
      <c r="J530" s="104"/>
      <c r="K530" s="118"/>
      <c r="L530" s="118"/>
      <c r="M530" s="119"/>
      <c r="N530" s="104"/>
      <c r="O530" s="120"/>
      <c r="P530" s="104"/>
      <c r="Q530" s="150"/>
      <c r="R530" s="148"/>
      <c r="S530" s="150"/>
      <c r="T530" s="149"/>
    </row>
    <row r="531" spans="3:20" ht="20.25" customHeight="1">
      <c r="C531" s="96"/>
      <c r="D531" s="102">
        <f t="shared" si="109"/>
        <v>531</v>
      </c>
      <c r="E531" s="106" t="s">
        <v>537</v>
      </c>
      <c r="F531" s="108">
        <f t="shared" si="104"/>
        <v>530</v>
      </c>
      <c r="G531" s="105" t="s">
        <v>201</v>
      </c>
      <c r="H531" s="105"/>
      <c r="I531" s="104">
        <v>12</v>
      </c>
      <c r="J531" s="108" t="str">
        <f>J529</f>
        <v>1664 mm id</v>
      </c>
      <c r="K531" s="118">
        <v>1</v>
      </c>
      <c r="L531" s="118" t="s">
        <v>81</v>
      </c>
      <c r="M531" s="119">
        <v>1</v>
      </c>
      <c r="N531" s="104" t="s">
        <v>249</v>
      </c>
      <c r="O531" s="120">
        <v>1</v>
      </c>
      <c r="P531" s="104" t="s">
        <v>112</v>
      </c>
      <c r="Q531" s="150">
        <f t="shared" si="102"/>
        <v>1</v>
      </c>
      <c r="R531" s="148">
        <v>1</v>
      </c>
      <c r="S531" s="150">
        <f t="shared" si="103"/>
        <v>2</v>
      </c>
      <c r="T531" s="152" t="s">
        <v>48</v>
      </c>
    </row>
    <row r="532" spans="3:20" ht="20.25" customHeight="1">
      <c r="C532" s="96"/>
      <c r="D532" s="102">
        <f t="shared" si="109"/>
        <v>532</v>
      </c>
      <c r="E532" s="106" t="s">
        <v>538</v>
      </c>
      <c r="F532" s="108">
        <f t="shared" si="104"/>
        <v>531</v>
      </c>
      <c r="G532" s="105" t="s">
        <v>115</v>
      </c>
      <c r="H532" s="105"/>
      <c r="I532" s="104">
        <v>12</v>
      </c>
      <c r="J532" s="108" t="str">
        <f>J531</f>
        <v>1664 mm id</v>
      </c>
      <c r="K532" s="118">
        <v>1</v>
      </c>
      <c r="L532" s="118" t="s">
        <v>81</v>
      </c>
      <c r="M532" s="128">
        <f t="shared" ref="M532:M535" si="116">LEFT(J532,SEARCH(" ",J532,1)-1)*K532*3.142/1000</f>
        <v>5.2282879999999992</v>
      </c>
      <c r="N532" s="104" t="s">
        <v>249</v>
      </c>
      <c r="O532" s="162">
        <f>VLOOKUP(I532,BM!$B$3:$Y$62,17,FALSE)</f>
        <v>2.5</v>
      </c>
      <c r="P532" s="104" t="s">
        <v>112</v>
      </c>
      <c r="Q532" s="150">
        <f t="shared" si="102"/>
        <v>13.070719999999998</v>
      </c>
      <c r="R532" s="148">
        <v>1</v>
      </c>
      <c r="S532" s="150">
        <f t="shared" si="103"/>
        <v>14.070719999999998</v>
      </c>
      <c r="T532" s="152" t="s">
        <v>48</v>
      </c>
    </row>
    <row r="533" spans="3:20" ht="20.25" customHeight="1">
      <c r="C533" s="96"/>
      <c r="D533" s="102">
        <f t="shared" si="109"/>
        <v>533</v>
      </c>
      <c r="E533" s="106" t="s">
        <v>539</v>
      </c>
      <c r="F533" s="108">
        <f t="shared" si="104"/>
        <v>532</v>
      </c>
      <c r="G533" s="105" t="s">
        <v>61</v>
      </c>
      <c r="H533" s="105"/>
      <c r="I533" s="104">
        <v>18</v>
      </c>
      <c r="J533" s="108" t="str">
        <f t="shared" ref="J533:J535" si="117">J531</f>
        <v>1664 mm id</v>
      </c>
      <c r="K533" s="118">
        <v>1</v>
      </c>
      <c r="L533" s="118" t="s">
        <v>81</v>
      </c>
      <c r="M533" s="128">
        <f t="shared" si="116"/>
        <v>5.2282879999999992</v>
      </c>
      <c r="N533" s="104" t="s">
        <v>249</v>
      </c>
      <c r="O533" s="162">
        <f>VLOOKUP(I533,BM!$B$3:$Y$62,18,FALSE)</f>
        <v>1</v>
      </c>
      <c r="P533" s="104" t="s">
        <v>112</v>
      </c>
      <c r="Q533" s="150">
        <f t="shared" si="102"/>
        <v>5.2282879999999992</v>
      </c>
      <c r="R533" s="148">
        <v>1</v>
      </c>
      <c r="S533" s="150">
        <f t="shared" si="103"/>
        <v>6.2282879999999992</v>
      </c>
      <c r="T533" s="152" t="s">
        <v>48</v>
      </c>
    </row>
    <row r="534" spans="3:20" ht="20.25" customHeight="1">
      <c r="C534" s="96"/>
      <c r="D534" s="102">
        <f t="shared" si="109"/>
        <v>534</v>
      </c>
      <c r="E534" s="106" t="s">
        <v>540</v>
      </c>
      <c r="F534" s="108">
        <f t="shared" si="104"/>
        <v>533</v>
      </c>
      <c r="G534" s="105" t="s">
        <v>115</v>
      </c>
      <c r="H534" s="105"/>
      <c r="I534" s="104">
        <v>6</v>
      </c>
      <c r="J534" s="108" t="str">
        <f t="shared" si="117"/>
        <v>1664 mm id</v>
      </c>
      <c r="K534" s="118">
        <v>1</v>
      </c>
      <c r="L534" s="118" t="s">
        <v>81</v>
      </c>
      <c r="M534" s="128">
        <f t="shared" si="116"/>
        <v>5.2282879999999992</v>
      </c>
      <c r="N534" s="104" t="s">
        <v>249</v>
      </c>
      <c r="O534" s="162">
        <f>VLOOKUP(I534,BM!$B$3:$Y$62,17,FALSE)</f>
        <v>0.9</v>
      </c>
      <c r="P534" s="104" t="s">
        <v>112</v>
      </c>
      <c r="Q534" s="150">
        <f t="shared" si="102"/>
        <v>4.7054591999999991</v>
      </c>
      <c r="R534" s="148">
        <v>1</v>
      </c>
      <c r="S534" s="150">
        <f t="shared" si="103"/>
        <v>5.7054591999999991</v>
      </c>
      <c r="T534" s="152" t="s">
        <v>48</v>
      </c>
    </row>
    <row r="535" spans="3:20" ht="20.25" customHeight="1">
      <c r="C535" s="96"/>
      <c r="D535" s="102">
        <f t="shared" si="109"/>
        <v>535</v>
      </c>
      <c r="E535" s="106" t="s">
        <v>541</v>
      </c>
      <c r="F535" s="108">
        <f t="shared" si="104"/>
        <v>534</v>
      </c>
      <c r="G535" s="105" t="s">
        <v>61</v>
      </c>
      <c r="H535" s="105"/>
      <c r="I535" s="104">
        <v>18</v>
      </c>
      <c r="J535" s="108" t="str">
        <f t="shared" si="117"/>
        <v>1664 mm id</v>
      </c>
      <c r="K535" s="118">
        <v>1</v>
      </c>
      <c r="L535" s="118" t="s">
        <v>81</v>
      </c>
      <c r="M535" s="128">
        <f t="shared" si="116"/>
        <v>5.2282879999999992</v>
      </c>
      <c r="N535" s="104" t="s">
        <v>249</v>
      </c>
      <c r="O535" s="162">
        <f>VLOOKUP(I535,BM!$B$3:$Y$62,20,FALSE)</f>
        <v>0.5</v>
      </c>
      <c r="P535" s="104" t="s">
        <v>112</v>
      </c>
      <c r="Q535" s="150">
        <f t="shared" si="102"/>
        <v>2.6141439999999996</v>
      </c>
      <c r="R535" s="148">
        <v>1</v>
      </c>
      <c r="S535" s="150">
        <f t="shared" si="103"/>
        <v>3.6141439999999996</v>
      </c>
      <c r="T535" s="152" t="s">
        <v>48</v>
      </c>
    </row>
    <row r="536" spans="3:20" ht="20.25" customHeight="1">
      <c r="C536" s="96">
        <f>D536</f>
        <v>536</v>
      </c>
      <c r="D536" s="102">
        <f t="shared" si="109"/>
        <v>536</v>
      </c>
      <c r="E536" s="103" t="s">
        <v>542</v>
      </c>
      <c r="F536" s="108">
        <f>D530</f>
        <v>530</v>
      </c>
      <c r="G536" s="105"/>
      <c r="H536" s="105"/>
      <c r="I536" s="104"/>
      <c r="J536" s="104"/>
      <c r="K536" s="118"/>
      <c r="L536" s="118"/>
      <c r="M536" s="119"/>
      <c r="N536" s="104"/>
      <c r="O536" s="120"/>
      <c r="P536" s="104"/>
      <c r="Q536" s="150"/>
      <c r="R536" s="148"/>
      <c r="S536" s="150"/>
      <c r="T536" s="149"/>
    </row>
    <row r="537" spans="3:20" ht="20.25" customHeight="1">
      <c r="C537" s="96"/>
      <c r="D537" s="102">
        <f t="shared" si="109"/>
        <v>537</v>
      </c>
      <c r="E537" s="106" t="s">
        <v>543</v>
      </c>
      <c r="F537" s="108">
        <f t="shared" si="104"/>
        <v>536</v>
      </c>
      <c r="G537" s="105" t="s">
        <v>52</v>
      </c>
      <c r="H537" s="105"/>
      <c r="I537" s="104">
        <v>18</v>
      </c>
      <c r="J537" s="108" t="str">
        <f>J535</f>
        <v>1664 mm id</v>
      </c>
      <c r="K537" s="118">
        <v>1</v>
      </c>
      <c r="L537" s="118" t="s">
        <v>81</v>
      </c>
      <c r="M537" s="128">
        <f t="shared" ref="M537:M540" si="118">LEFT(J537,SEARCH(" ",J537,1)-1)*K537*3.142/1000</f>
        <v>5.2282879999999992</v>
      </c>
      <c r="N537" s="104" t="s">
        <v>139</v>
      </c>
      <c r="O537" s="162">
        <f>VLOOKUP(I537,BM!$B$3:$Y$62,10,FALSE)</f>
        <v>1</v>
      </c>
      <c r="P537" s="104" t="s">
        <v>112</v>
      </c>
      <c r="Q537" s="150">
        <f t="shared" si="102"/>
        <v>5.2282879999999992</v>
      </c>
      <c r="R537" s="148">
        <v>1</v>
      </c>
      <c r="S537" s="150">
        <f t="shared" si="103"/>
        <v>6.2282879999999992</v>
      </c>
      <c r="T537" s="152" t="s">
        <v>48</v>
      </c>
    </row>
    <row r="538" spans="3:20" ht="20.25" customHeight="1">
      <c r="C538" s="96"/>
      <c r="D538" s="102">
        <f t="shared" si="109"/>
        <v>538</v>
      </c>
      <c r="E538" s="106" t="s">
        <v>544</v>
      </c>
      <c r="F538" s="108">
        <f t="shared" si="104"/>
        <v>537</v>
      </c>
      <c r="G538" s="105" t="s">
        <v>44</v>
      </c>
      <c r="H538" s="105"/>
      <c r="I538" s="104">
        <v>18</v>
      </c>
      <c r="J538" s="108" t="str">
        <f t="shared" ref="J538:J540" si="119">J537</f>
        <v>1664 mm id</v>
      </c>
      <c r="K538" s="118">
        <v>1</v>
      </c>
      <c r="L538" s="118" t="s">
        <v>81</v>
      </c>
      <c r="M538" s="128">
        <f t="shared" si="118"/>
        <v>5.2282879999999992</v>
      </c>
      <c r="N538" s="104" t="s">
        <v>139</v>
      </c>
      <c r="O538" s="162">
        <f>VLOOKUP(I538,BM!$B$3:$Y$62,16,FALSE)</f>
        <v>1</v>
      </c>
      <c r="P538" s="104" t="s">
        <v>112</v>
      </c>
      <c r="Q538" s="150">
        <f t="shared" si="102"/>
        <v>5.2282879999999992</v>
      </c>
      <c r="R538" s="148">
        <v>1</v>
      </c>
      <c r="S538" s="150">
        <f t="shared" si="103"/>
        <v>6.2282879999999992</v>
      </c>
      <c r="T538" s="152" t="s">
        <v>48</v>
      </c>
    </row>
    <row r="539" spans="3:20" ht="20.25" customHeight="1">
      <c r="C539" s="96"/>
      <c r="D539" s="102">
        <f t="shared" si="109"/>
        <v>539</v>
      </c>
      <c r="E539" s="106" t="s">
        <v>545</v>
      </c>
      <c r="F539" s="108">
        <f t="shared" si="104"/>
        <v>538</v>
      </c>
      <c r="G539" s="105" t="s">
        <v>111</v>
      </c>
      <c r="H539" s="105"/>
      <c r="I539" s="104">
        <v>18</v>
      </c>
      <c r="J539" s="108" t="str">
        <f t="shared" si="119"/>
        <v>1664 mm id</v>
      </c>
      <c r="K539" s="118">
        <v>1</v>
      </c>
      <c r="L539" s="118" t="s">
        <v>81</v>
      </c>
      <c r="M539" s="128">
        <f t="shared" si="118"/>
        <v>5.2282879999999992</v>
      </c>
      <c r="N539" s="104" t="s">
        <v>139</v>
      </c>
      <c r="O539" s="120">
        <v>4</v>
      </c>
      <c r="P539" s="104" t="s">
        <v>112</v>
      </c>
      <c r="Q539" s="150">
        <f t="shared" si="102"/>
        <v>20.913151999999997</v>
      </c>
      <c r="R539" s="148">
        <v>1</v>
      </c>
      <c r="S539" s="150">
        <f t="shared" si="103"/>
        <v>21.913151999999997</v>
      </c>
      <c r="T539" s="152" t="s">
        <v>48</v>
      </c>
    </row>
    <row r="540" spans="3:20" ht="20.25" customHeight="1">
      <c r="C540" s="96"/>
      <c r="D540" s="102">
        <f t="shared" si="109"/>
        <v>540</v>
      </c>
      <c r="E540" s="106" t="s">
        <v>546</v>
      </c>
      <c r="F540" s="108">
        <f t="shared" si="104"/>
        <v>539</v>
      </c>
      <c r="G540" s="105" t="s">
        <v>63</v>
      </c>
      <c r="H540" s="105"/>
      <c r="I540" s="104">
        <v>18</v>
      </c>
      <c r="J540" s="108" t="str">
        <f t="shared" si="119"/>
        <v>1664 mm id</v>
      </c>
      <c r="K540" s="118">
        <v>1</v>
      </c>
      <c r="L540" s="118" t="s">
        <v>81</v>
      </c>
      <c r="M540" s="128">
        <f t="shared" si="118"/>
        <v>5.2282879999999992</v>
      </c>
      <c r="N540" s="104" t="s">
        <v>39</v>
      </c>
      <c r="O540" s="120">
        <v>3.5</v>
      </c>
      <c r="P540" s="104" t="s">
        <v>112</v>
      </c>
      <c r="Q540" s="150">
        <f t="shared" ref="Q540:Q602" si="120">M540*O540</f>
        <v>18.299007999999997</v>
      </c>
      <c r="R540" s="148">
        <v>1</v>
      </c>
      <c r="S540" s="150">
        <f t="shared" ref="S540:S602" si="121">Q540+R540</f>
        <v>19.299007999999997</v>
      </c>
      <c r="T540" s="152" t="s">
        <v>48</v>
      </c>
    </row>
    <row r="541" spans="3:20" ht="20.25" customHeight="1">
      <c r="C541" s="96">
        <f>D541</f>
        <v>541</v>
      </c>
      <c r="D541" s="102">
        <f t="shared" si="109"/>
        <v>541</v>
      </c>
      <c r="E541" s="103" t="s">
        <v>547</v>
      </c>
      <c r="F541" s="108">
        <f>D536</f>
        <v>536</v>
      </c>
      <c r="G541" s="105"/>
      <c r="H541" s="105"/>
      <c r="I541" s="104"/>
      <c r="J541" s="104"/>
      <c r="K541" s="118"/>
      <c r="L541" s="118"/>
      <c r="M541" s="119"/>
      <c r="N541" s="104"/>
      <c r="O541" s="120"/>
      <c r="P541" s="104"/>
      <c r="Q541" s="150"/>
      <c r="R541" s="148"/>
      <c r="S541" s="150"/>
      <c r="T541" s="149"/>
    </row>
    <row r="542" spans="3:20" ht="20.25" customHeight="1">
      <c r="C542" s="96"/>
      <c r="D542" s="102">
        <f t="shared" si="109"/>
        <v>542</v>
      </c>
      <c r="E542" s="106" t="s">
        <v>548</v>
      </c>
      <c r="F542" s="108">
        <f t="shared" ref="F542:F602" si="122">D541</f>
        <v>541</v>
      </c>
      <c r="G542" s="105" t="s">
        <v>201</v>
      </c>
      <c r="H542" s="105"/>
      <c r="I542" s="104">
        <v>12</v>
      </c>
      <c r="J542" s="108" t="str">
        <f>J540</f>
        <v>1664 mm id</v>
      </c>
      <c r="K542" s="118">
        <v>1</v>
      </c>
      <c r="L542" s="118" t="s">
        <v>81</v>
      </c>
      <c r="M542" s="119">
        <v>1</v>
      </c>
      <c r="N542" s="104" t="s">
        <v>249</v>
      </c>
      <c r="O542" s="120">
        <v>1</v>
      </c>
      <c r="P542" s="104" t="s">
        <v>112</v>
      </c>
      <c r="Q542" s="150">
        <f t="shared" si="120"/>
        <v>1</v>
      </c>
      <c r="R542" s="148">
        <v>1</v>
      </c>
      <c r="S542" s="150">
        <f t="shared" si="121"/>
        <v>2</v>
      </c>
      <c r="T542" s="152" t="s">
        <v>48</v>
      </c>
    </row>
    <row r="543" spans="3:20" ht="20.25" customHeight="1">
      <c r="C543" s="96"/>
      <c r="D543" s="102">
        <f t="shared" si="109"/>
        <v>543</v>
      </c>
      <c r="E543" s="106" t="s">
        <v>549</v>
      </c>
      <c r="F543" s="108">
        <f t="shared" si="122"/>
        <v>542</v>
      </c>
      <c r="G543" s="105" t="s">
        <v>115</v>
      </c>
      <c r="H543" s="105"/>
      <c r="I543" s="104">
        <v>12</v>
      </c>
      <c r="J543" s="108" t="str">
        <f t="shared" ref="J543:J546" si="123">J542</f>
        <v>1664 mm id</v>
      </c>
      <c r="K543" s="118">
        <v>1</v>
      </c>
      <c r="L543" s="118" t="s">
        <v>81</v>
      </c>
      <c r="M543" s="128">
        <f t="shared" ref="M543:M546" si="124">LEFT(J543,SEARCH(" ",J543,1)-1)*K543*3.142/1000</f>
        <v>5.2282879999999992</v>
      </c>
      <c r="N543" s="104" t="s">
        <v>249</v>
      </c>
      <c r="O543" s="162">
        <f>VLOOKUP(I543,BM!$B$3:$Y$62,17,FALSE)</f>
        <v>2.5</v>
      </c>
      <c r="P543" s="104" t="s">
        <v>112</v>
      </c>
      <c r="Q543" s="150">
        <f t="shared" si="120"/>
        <v>13.070719999999998</v>
      </c>
      <c r="R543" s="148">
        <v>1</v>
      </c>
      <c r="S543" s="150">
        <f t="shared" si="121"/>
        <v>14.070719999999998</v>
      </c>
      <c r="T543" s="152" t="s">
        <v>48</v>
      </c>
    </row>
    <row r="544" spans="3:20" ht="20.25" customHeight="1">
      <c r="C544" s="96"/>
      <c r="D544" s="102">
        <f t="shared" si="109"/>
        <v>544</v>
      </c>
      <c r="E544" s="106" t="s">
        <v>550</v>
      </c>
      <c r="F544" s="108">
        <f t="shared" si="122"/>
        <v>543</v>
      </c>
      <c r="G544" s="105" t="s">
        <v>61</v>
      </c>
      <c r="H544" s="105"/>
      <c r="I544" s="104">
        <v>18</v>
      </c>
      <c r="J544" s="108" t="str">
        <f t="shared" si="123"/>
        <v>1664 mm id</v>
      </c>
      <c r="K544" s="118">
        <v>1</v>
      </c>
      <c r="L544" s="118" t="s">
        <v>81</v>
      </c>
      <c r="M544" s="128">
        <f t="shared" si="124"/>
        <v>5.2282879999999992</v>
      </c>
      <c r="N544" s="104" t="s">
        <v>249</v>
      </c>
      <c r="O544" s="162">
        <f>VLOOKUP(I544,BM!$B$3:$Y$62,18,FALSE)</f>
        <v>1</v>
      </c>
      <c r="P544" s="104" t="s">
        <v>112</v>
      </c>
      <c r="Q544" s="150">
        <f t="shared" si="120"/>
        <v>5.2282879999999992</v>
      </c>
      <c r="R544" s="148">
        <v>1</v>
      </c>
      <c r="S544" s="150">
        <f t="shared" si="121"/>
        <v>6.2282879999999992</v>
      </c>
      <c r="T544" s="152" t="s">
        <v>48</v>
      </c>
    </row>
    <row r="545" spans="3:20" ht="20.25" customHeight="1">
      <c r="C545" s="96"/>
      <c r="D545" s="102">
        <f t="shared" si="109"/>
        <v>545</v>
      </c>
      <c r="E545" s="106" t="s">
        <v>551</v>
      </c>
      <c r="F545" s="108">
        <f t="shared" si="122"/>
        <v>544</v>
      </c>
      <c r="G545" s="105" t="s">
        <v>115</v>
      </c>
      <c r="H545" s="105"/>
      <c r="I545" s="104">
        <v>6</v>
      </c>
      <c r="J545" s="108" t="str">
        <f t="shared" si="123"/>
        <v>1664 mm id</v>
      </c>
      <c r="K545" s="118">
        <v>1</v>
      </c>
      <c r="L545" s="118" t="s">
        <v>81</v>
      </c>
      <c r="M545" s="128">
        <f t="shared" si="124"/>
        <v>5.2282879999999992</v>
      </c>
      <c r="N545" s="104" t="s">
        <v>249</v>
      </c>
      <c r="O545" s="162">
        <f>VLOOKUP(I545,BM!$B$3:$Y$62,17,FALSE)</f>
        <v>0.9</v>
      </c>
      <c r="P545" s="104" t="s">
        <v>112</v>
      </c>
      <c r="Q545" s="150">
        <f t="shared" si="120"/>
        <v>4.7054591999999991</v>
      </c>
      <c r="R545" s="148">
        <v>1</v>
      </c>
      <c r="S545" s="150">
        <f t="shared" si="121"/>
        <v>5.7054591999999991</v>
      </c>
      <c r="T545" s="152" t="s">
        <v>48</v>
      </c>
    </row>
    <row r="546" spans="3:20" ht="20.25" customHeight="1">
      <c r="C546" s="96"/>
      <c r="D546" s="102">
        <f t="shared" si="109"/>
        <v>546</v>
      </c>
      <c r="E546" s="106" t="s">
        <v>552</v>
      </c>
      <c r="F546" s="108">
        <f t="shared" si="122"/>
        <v>545</v>
      </c>
      <c r="G546" s="105" t="s">
        <v>61</v>
      </c>
      <c r="H546" s="105"/>
      <c r="I546" s="104">
        <v>18</v>
      </c>
      <c r="J546" s="108" t="str">
        <f t="shared" si="123"/>
        <v>1664 mm id</v>
      </c>
      <c r="K546" s="118">
        <v>1</v>
      </c>
      <c r="L546" s="118" t="s">
        <v>81</v>
      </c>
      <c r="M546" s="128">
        <f t="shared" si="124"/>
        <v>5.2282879999999992</v>
      </c>
      <c r="N546" s="104" t="s">
        <v>249</v>
      </c>
      <c r="O546" s="162">
        <f>VLOOKUP(I546,BM!$B$3:$Y$62,20,FALSE)</f>
        <v>0.5</v>
      </c>
      <c r="P546" s="104" t="s">
        <v>112</v>
      </c>
      <c r="Q546" s="150">
        <f t="shared" si="120"/>
        <v>2.6141439999999996</v>
      </c>
      <c r="R546" s="148">
        <v>1</v>
      </c>
      <c r="S546" s="150">
        <f t="shared" si="121"/>
        <v>3.6141439999999996</v>
      </c>
      <c r="T546" s="152" t="s">
        <v>48</v>
      </c>
    </row>
    <row r="547" spans="3:20" ht="20.25" customHeight="1">
      <c r="C547" s="96">
        <f>D547</f>
        <v>547</v>
      </c>
      <c r="D547" s="102">
        <f t="shared" si="109"/>
        <v>547</v>
      </c>
      <c r="E547" s="103" t="s">
        <v>553</v>
      </c>
      <c r="F547" s="108">
        <f>D541</f>
        <v>541</v>
      </c>
      <c r="G547" s="105"/>
      <c r="H547" s="105"/>
      <c r="I547" s="104"/>
      <c r="J547" s="104"/>
      <c r="K547" s="118"/>
      <c r="L547" s="118"/>
      <c r="M547" s="119"/>
      <c r="N547" s="104"/>
      <c r="O547" s="120"/>
      <c r="P547" s="104"/>
      <c r="Q547" s="150"/>
      <c r="R547" s="148"/>
      <c r="S547" s="150"/>
      <c r="T547" s="149"/>
    </row>
    <row r="548" spans="3:20" ht="20.25" customHeight="1">
      <c r="C548" s="96"/>
      <c r="D548" s="102">
        <f t="shared" si="109"/>
        <v>548</v>
      </c>
      <c r="E548" s="106" t="s">
        <v>554</v>
      </c>
      <c r="F548" s="108">
        <f t="shared" si="122"/>
        <v>547</v>
      </c>
      <c r="G548" s="105" t="s">
        <v>312</v>
      </c>
      <c r="H548" s="105"/>
      <c r="I548" s="108">
        <f>I546</f>
        <v>18</v>
      </c>
      <c r="J548" s="108" t="str">
        <f t="shared" ref="J548:L548" si="125">J546</f>
        <v>1664 mm id</v>
      </c>
      <c r="K548" s="164">
        <f t="shared" si="125"/>
        <v>1</v>
      </c>
      <c r="L548" s="164" t="str">
        <f t="shared" si="125"/>
        <v>Nos</v>
      </c>
      <c r="M548" s="104">
        <v>1</v>
      </c>
      <c r="N548" s="104" t="s">
        <v>39</v>
      </c>
      <c r="O548" s="120">
        <v>1</v>
      </c>
      <c r="P548" s="104" t="s">
        <v>41</v>
      </c>
      <c r="Q548" s="150">
        <f t="shared" si="120"/>
        <v>1</v>
      </c>
      <c r="R548" s="108"/>
      <c r="S548" s="150">
        <f t="shared" si="121"/>
        <v>1</v>
      </c>
      <c r="T548" s="152" t="s">
        <v>41</v>
      </c>
    </row>
    <row r="549" spans="3:20" ht="20.25" customHeight="1">
      <c r="C549" s="96">
        <f>D549</f>
        <v>549</v>
      </c>
      <c r="D549" s="102">
        <f t="shared" si="109"/>
        <v>549</v>
      </c>
      <c r="E549" s="103" t="s">
        <v>555</v>
      </c>
      <c r="F549" s="108">
        <f>D547</f>
        <v>547</v>
      </c>
      <c r="G549" s="105"/>
      <c r="H549" s="105"/>
      <c r="I549" s="104"/>
      <c r="J549" s="104"/>
      <c r="K549" s="118"/>
      <c r="L549" s="118"/>
      <c r="M549" s="119"/>
      <c r="N549" s="104"/>
      <c r="O549" s="120"/>
      <c r="P549" s="104"/>
      <c r="Q549" s="150"/>
      <c r="R549" s="148"/>
      <c r="S549" s="150"/>
      <c r="T549" s="149"/>
    </row>
    <row r="550" spans="3:20" ht="20.25" customHeight="1">
      <c r="C550" s="96"/>
      <c r="D550" s="102">
        <f t="shared" si="109"/>
        <v>550</v>
      </c>
      <c r="E550" s="106" t="s">
        <v>556</v>
      </c>
      <c r="F550" s="108">
        <f t="shared" si="122"/>
        <v>549</v>
      </c>
      <c r="G550" s="105" t="s">
        <v>44</v>
      </c>
      <c r="H550" s="105"/>
      <c r="I550" s="104">
        <v>20</v>
      </c>
      <c r="J550" s="108" t="str">
        <f>J548</f>
        <v>1664 mm id</v>
      </c>
      <c r="K550" s="118">
        <v>1</v>
      </c>
      <c r="L550" s="118" t="s">
        <v>81</v>
      </c>
      <c r="M550" s="119">
        <v>1</v>
      </c>
      <c r="N550" s="104" t="s">
        <v>81</v>
      </c>
      <c r="O550" s="120">
        <v>3</v>
      </c>
      <c r="P550" s="104" t="s">
        <v>112</v>
      </c>
      <c r="Q550" s="150">
        <f t="shared" si="120"/>
        <v>3</v>
      </c>
      <c r="R550" s="148">
        <v>1</v>
      </c>
      <c r="S550" s="150">
        <f t="shared" si="121"/>
        <v>4</v>
      </c>
      <c r="T550" s="152" t="s">
        <v>48</v>
      </c>
    </row>
    <row r="551" spans="3:20" ht="20.25" customHeight="1">
      <c r="C551" s="96"/>
      <c r="D551" s="102">
        <f t="shared" si="109"/>
        <v>551</v>
      </c>
      <c r="E551" s="106" t="s">
        <v>557</v>
      </c>
      <c r="F551" s="108">
        <f t="shared" si="122"/>
        <v>550</v>
      </c>
      <c r="G551" s="105" t="s">
        <v>44</v>
      </c>
      <c r="H551" s="105"/>
      <c r="I551" s="104">
        <v>20</v>
      </c>
      <c r="J551" s="108" t="str">
        <f>J550</f>
        <v>1664 mm id</v>
      </c>
      <c r="K551" s="118">
        <v>1</v>
      </c>
      <c r="L551" s="118" t="s">
        <v>81</v>
      </c>
      <c r="M551" s="119">
        <v>1</v>
      </c>
      <c r="N551" s="104" t="s">
        <v>81</v>
      </c>
      <c r="O551" s="120">
        <v>1</v>
      </c>
      <c r="P551" s="104" t="s">
        <v>112</v>
      </c>
      <c r="Q551" s="150">
        <f t="shared" si="120"/>
        <v>1</v>
      </c>
      <c r="R551" s="148">
        <v>1</v>
      </c>
      <c r="S551" s="150">
        <f t="shared" si="121"/>
        <v>2</v>
      </c>
      <c r="T551" s="152" t="s">
        <v>48</v>
      </c>
    </row>
    <row r="552" spans="3:20" ht="20.25" customHeight="1">
      <c r="C552" s="96">
        <f>D552</f>
        <v>552</v>
      </c>
      <c r="D552" s="102">
        <f t="shared" si="109"/>
        <v>552</v>
      </c>
      <c r="E552" s="103" t="s">
        <v>774</v>
      </c>
      <c r="F552" s="108">
        <f>D549</f>
        <v>549</v>
      </c>
      <c r="G552" s="105"/>
      <c r="H552" s="105"/>
      <c r="I552" s="104"/>
      <c r="J552" s="104"/>
      <c r="K552" s="118"/>
      <c r="L552" s="118"/>
      <c r="M552" s="119"/>
      <c r="N552" s="104"/>
      <c r="O552" s="120"/>
      <c r="P552" s="104"/>
      <c r="Q552" s="150"/>
      <c r="R552" s="148"/>
      <c r="S552" s="150"/>
      <c r="T552" s="152"/>
    </row>
    <row r="553" spans="3:20" ht="20.25" customHeight="1">
      <c r="C553" s="96"/>
      <c r="D553" s="102">
        <f t="shared" si="109"/>
        <v>553</v>
      </c>
      <c r="E553" s="106" t="s">
        <v>559</v>
      </c>
      <c r="F553" s="108">
        <f t="shared" si="122"/>
        <v>552</v>
      </c>
      <c r="G553" s="105" t="s">
        <v>52</v>
      </c>
      <c r="H553" s="105"/>
      <c r="I553" s="104"/>
      <c r="J553" s="104" t="s">
        <v>560</v>
      </c>
      <c r="K553" s="118">
        <v>1</v>
      </c>
      <c r="L553" s="118" t="s">
        <v>39</v>
      </c>
      <c r="M553" s="119">
        <v>1</v>
      </c>
      <c r="N553" s="104" t="s">
        <v>81</v>
      </c>
      <c r="O553" s="120">
        <v>3</v>
      </c>
      <c r="P553" s="104" t="s">
        <v>112</v>
      </c>
      <c r="Q553" s="150">
        <f t="shared" si="120"/>
        <v>3</v>
      </c>
      <c r="R553" s="148">
        <v>1</v>
      </c>
      <c r="S553" s="150">
        <f t="shared" si="121"/>
        <v>4</v>
      </c>
      <c r="T553" s="152" t="s">
        <v>48</v>
      </c>
    </row>
    <row r="554" spans="3:20" ht="20.25" customHeight="1">
      <c r="C554" s="96"/>
      <c r="D554" s="102">
        <f t="shared" si="109"/>
        <v>554</v>
      </c>
      <c r="E554" s="106" t="s">
        <v>559</v>
      </c>
      <c r="F554" s="108">
        <f t="shared" si="122"/>
        <v>553</v>
      </c>
      <c r="G554" s="105" t="s">
        <v>52</v>
      </c>
      <c r="H554" s="105"/>
      <c r="I554" s="104"/>
      <c r="J554" s="104" t="s">
        <v>560</v>
      </c>
      <c r="K554" s="118">
        <v>1</v>
      </c>
      <c r="L554" s="118" t="s">
        <v>39</v>
      </c>
      <c r="M554" s="119">
        <v>1</v>
      </c>
      <c r="N554" s="104" t="s">
        <v>81</v>
      </c>
      <c r="O554" s="120">
        <v>3</v>
      </c>
      <c r="P554" s="104" t="s">
        <v>112</v>
      </c>
      <c r="Q554" s="150">
        <f t="shared" si="120"/>
        <v>3</v>
      </c>
      <c r="R554" s="148">
        <v>1</v>
      </c>
      <c r="S554" s="150">
        <f t="shared" si="121"/>
        <v>4</v>
      </c>
      <c r="T554" s="152" t="s">
        <v>48</v>
      </c>
    </row>
    <row r="555" spans="3:20" ht="20.25" customHeight="1">
      <c r="C555" s="96">
        <f>D555</f>
        <v>555</v>
      </c>
      <c r="D555" s="102">
        <f t="shared" si="109"/>
        <v>555</v>
      </c>
      <c r="E555" s="103" t="s">
        <v>561</v>
      </c>
      <c r="F555" s="108">
        <f>D552</f>
        <v>552</v>
      </c>
      <c r="G555" s="105"/>
      <c r="H555" s="105"/>
      <c r="I555" s="104"/>
      <c r="J555" s="104"/>
      <c r="K555" s="118"/>
      <c r="L555" s="118"/>
      <c r="M555" s="119"/>
      <c r="N555" s="104"/>
      <c r="O555" s="120"/>
      <c r="P555" s="104"/>
      <c r="Q555" s="150"/>
      <c r="R555" s="148"/>
      <c r="S555" s="150"/>
      <c r="T555" s="152"/>
    </row>
    <row r="556" spans="3:20" ht="20.25" customHeight="1">
      <c r="C556" s="96"/>
      <c r="D556" s="102">
        <f t="shared" si="109"/>
        <v>556</v>
      </c>
      <c r="E556" s="106" t="s">
        <v>559</v>
      </c>
      <c r="F556" s="108">
        <f t="shared" si="122"/>
        <v>555</v>
      </c>
      <c r="G556" s="105" t="s">
        <v>121</v>
      </c>
      <c r="H556" s="105"/>
      <c r="I556" s="104"/>
      <c r="J556" s="104" t="s">
        <v>560</v>
      </c>
      <c r="K556" s="118">
        <v>1</v>
      </c>
      <c r="L556" s="118" t="s">
        <v>39</v>
      </c>
      <c r="M556" s="119">
        <v>1</v>
      </c>
      <c r="N556" s="104" t="s">
        <v>81</v>
      </c>
      <c r="O556" s="120">
        <v>2</v>
      </c>
      <c r="P556" s="104" t="s">
        <v>112</v>
      </c>
      <c r="Q556" s="150">
        <f t="shared" si="120"/>
        <v>2</v>
      </c>
      <c r="R556" s="148">
        <v>1</v>
      </c>
      <c r="S556" s="150">
        <f t="shared" si="121"/>
        <v>3</v>
      </c>
      <c r="T556" s="152" t="s">
        <v>48</v>
      </c>
    </row>
    <row r="557" spans="3:20" ht="20.25" customHeight="1">
      <c r="C557" s="96"/>
      <c r="D557" s="102">
        <f t="shared" si="109"/>
        <v>557</v>
      </c>
      <c r="E557" s="106" t="s">
        <v>559</v>
      </c>
      <c r="F557" s="108">
        <f t="shared" si="122"/>
        <v>556</v>
      </c>
      <c r="G557" s="105" t="s">
        <v>121</v>
      </c>
      <c r="H557" s="105"/>
      <c r="I557" s="104"/>
      <c r="J557" s="104" t="s">
        <v>560</v>
      </c>
      <c r="K557" s="118">
        <v>1</v>
      </c>
      <c r="L557" s="118" t="s">
        <v>39</v>
      </c>
      <c r="M557" s="119">
        <v>1</v>
      </c>
      <c r="N557" s="104" t="s">
        <v>81</v>
      </c>
      <c r="O557" s="120">
        <v>2</v>
      </c>
      <c r="P557" s="104" t="s">
        <v>112</v>
      </c>
      <c r="Q557" s="150">
        <f t="shared" si="120"/>
        <v>2</v>
      </c>
      <c r="R557" s="148">
        <v>1</v>
      </c>
      <c r="S557" s="150">
        <f t="shared" si="121"/>
        <v>3</v>
      </c>
      <c r="T557" s="152" t="s">
        <v>48</v>
      </c>
    </row>
    <row r="558" spans="3:20" ht="20.25" customHeight="1">
      <c r="C558" s="96">
        <f>D558</f>
        <v>558</v>
      </c>
      <c r="D558" s="102">
        <f t="shared" si="109"/>
        <v>558</v>
      </c>
      <c r="E558" s="103" t="s">
        <v>562</v>
      </c>
      <c r="F558" s="108">
        <f>D555</f>
        <v>555</v>
      </c>
      <c r="G558" s="105"/>
      <c r="H558" s="105"/>
      <c r="I558" s="104"/>
      <c r="J558" s="104"/>
      <c r="K558" s="118"/>
      <c r="L558" s="118"/>
      <c r="M558" s="119"/>
      <c r="N558" s="104"/>
      <c r="O558" s="120"/>
      <c r="P558" s="104"/>
      <c r="Q558" s="150"/>
      <c r="R558" s="148"/>
      <c r="S558" s="150"/>
      <c r="T558" s="152"/>
    </row>
    <row r="559" spans="3:20" ht="20.25" customHeight="1">
      <c r="C559" s="96"/>
      <c r="D559" s="102">
        <f t="shared" si="109"/>
        <v>559</v>
      </c>
      <c r="E559" s="106" t="s">
        <v>563</v>
      </c>
      <c r="F559" s="108">
        <f t="shared" si="122"/>
        <v>558</v>
      </c>
      <c r="G559" s="105" t="s">
        <v>111</v>
      </c>
      <c r="H559" s="105"/>
      <c r="I559" s="104"/>
      <c r="J559" s="104" t="s">
        <v>560</v>
      </c>
      <c r="K559" s="118">
        <v>1</v>
      </c>
      <c r="L559" s="118" t="s">
        <v>564</v>
      </c>
      <c r="M559" s="119">
        <v>1</v>
      </c>
      <c r="N559" s="104" t="s">
        <v>81</v>
      </c>
      <c r="O559" s="162" t="e">
        <f>VLOOKUP(J559,BM!$B$3:$Y$62,11,FALSE)</f>
        <v>#N/A</v>
      </c>
      <c r="P559" s="104" t="s">
        <v>112</v>
      </c>
      <c r="Q559" s="150" t="e">
        <f t="shared" si="120"/>
        <v>#N/A</v>
      </c>
      <c r="R559" s="148">
        <v>1</v>
      </c>
      <c r="S559" s="150" t="e">
        <f t="shared" si="121"/>
        <v>#N/A</v>
      </c>
      <c r="T559" s="152" t="s">
        <v>48</v>
      </c>
    </row>
    <row r="560" spans="3:20" ht="20.25" customHeight="1">
      <c r="C560" s="96"/>
      <c r="D560" s="102">
        <f t="shared" si="109"/>
        <v>560</v>
      </c>
      <c r="E560" s="106" t="s">
        <v>565</v>
      </c>
      <c r="F560" s="108">
        <f t="shared" si="122"/>
        <v>559</v>
      </c>
      <c r="G560" s="105" t="s">
        <v>111</v>
      </c>
      <c r="H560" s="105"/>
      <c r="I560" s="104"/>
      <c r="J560" s="108" t="str">
        <f>J559</f>
        <v>40NB</v>
      </c>
      <c r="K560" s="118">
        <v>1</v>
      </c>
      <c r="L560" s="118" t="s">
        <v>564</v>
      </c>
      <c r="M560" s="119">
        <v>1</v>
      </c>
      <c r="N560" s="104" t="s">
        <v>81</v>
      </c>
      <c r="O560" s="162" t="e">
        <f>VLOOKUP(J560,BM!$B$3:$Y$62,11,FALSE)</f>
        <v>#N/A</v>
      </c>
      <c r="P560" s="104" t="s">
        <v>112</v>
      </c>
      <c r="Q560" s="150" t="e">
        <f t="shared" si="120"/>
        <v>#N/A</v>
      </c>
      <c r="R560" s="148">
        <v>1</v>
      </c>
      <c r="S560" s="150" t="e">
        <f t="shared" si="121"/>
        <v>#N/A</v>
      </c>
      <c r="T560" s="152" t="s">
        <v>48</v>
      </c>
    </row>
    <row r="561" spans="3:20" ht="20.25" customHeight="1">
      <c r="C561" s="96">
        <f>D561</f>
        <v>561</v>
      </c>
      <c r="D561" s="102">
        <f t="shared" si="109"/>
        <v>561</v>
      </c>
      <c r="E561" s="103" t="s">
        <v>566</v>
      </c>
      <c r="F561" s="108">
        <f>D558</f>
        <v>558</v>
      </c>
      <c r="G561" s="105"/>
      <c r="H561" s="105"/>
      <c r="I561" s="104"/>
      <c r="J561" s="104"/>
      <c r="K561" s="118"/>
      <c r="L561" s="118"/>
      <c r="M561" s="119"/>
      <c r="N561" s="104"/>
      <c r="O561" s="120"/>
      <c r="P561" s="104"/>
      <c r="Q561" s="150"/>
      <c r="R561" s="148"/>
      <c r="S561" s="150"/>
      <c r="T561" s="152"/>
    </row>
    <row r="562" spans="3:20" ht="20.25" customHeight="1">
      <c r="C562" s="96"/>
      <c r="D562" s="102">
        <f t="shared" si="109"/>
        <v>562</v>
      </c>
      <c r="E562" s="106" t="s">
        <v>567</v>
      </c>
      <c r="F562" s="108">
        <f t="shared" si="122"/>
        <v>561</v>
      </c>
      <c r="G562" s="105" t="s">
        <v>568</v>
      </c>
      <c r="H562" s="105"/>
      <c r="I562" s="104"/>
      <c r="J562" s="108" t="str">
        <f>J560</f>
        <v>40NB</v>
      </c>
      <c r="K562" s="118">
        <v>1</v>
      </c>
      <c r="L562" s="118" t="s">
        <v>564</v>
      </c>
      <c r="M562" s="119">
        <v>1</v>
      </c>
      <c r="N562" s="104" t="s">
        <v>81</v>
      </c>
      <c r="O562" s="120">
        <v>0.5</v>
      </c>
      <c r="P562" s="104" t="s">
        <v>112</v>
      </c>
      <c r="Q562" s="150">
        <f t="shared" si="120"/>
        <v>0.5</v>
      </c>
      <c r="R562" s="148">
        <v>1</v>
      </c>
      <c r="S562" s="150">
        <f t="shared" si="121"/>
        <v>1.5</v>
      </c>
      <c r="T562" s="152" t="s">
        <v>48</v>
      </c>
    </row>
    <row r="563" spans="3:20" ht="20.25" customHeight="1">
      <c r="C563" s="96"/>
      <c r="D563" s="102">
        <f t="shared" si="109"/>
        <v>563</v>
      </c>
      <c r="E563" s="106" t="s">
        <v>569</v>
      </c>
      <c r="F563" s="108">
        <f t="shared" si="122"/>
        <v>562</v>
      </c>
      <c r="G563" s="105" t="s">
        <v>568</v>
      </c>
      <c r="H563" s="105"/>
      <c r="I563" s="104"/>
      <c r="J563" s="108" t="str">
        <f>J560</f>
        <v>40NB</v>
      </c>
      <c r="K563" s="118">
        <v>1</v>
      </c>
      <c r="L563" s="118" t="s">
        <v>564</v>
      </c>
      <c r="M563" s="119">
        <v>1</v>
      </c>
      <c r="N563" s="104" t="s">
        <v>81</v>
      </c>
      <c r="O563" s="120">
        <v>0.5</v>
      </c>
      <c r="P563" s="104" t="s">
        <v>112</v>
      </c>
      <c r="Q563" s="150">
        <f t="shared" si="120"/>
        <v>0.5</v>
      </c>
      <c r="R563" s="148">
        <v>1</v>
      </c>
      <c r="S563" s="150">
        <f t="shared" si="121"/>
        <v>1.5</v>
      </c>
      <c r="T563" s="152" t="s">
        <v>48</v>
      </c>
    </row>
    <row r="564" spans="3:20" ht="20.25" customHeight="1">
      <c r="C564" s="96">
        <f>D564</f>
        <v>564</v>
      </c>
      <c r="D564" s="102">
        <f t="shared" si="109"/>
        <v>564</v>
      </c>
      <c r="E564" s="103" t="s">
        <v>775</v>
      </c>
      <c r="F564" s="108">
        <f>D561</f>
        <v>561</v>
      </c>
      <c r="G564" s="105"/>
      <c r="H564" s="105"/>
      <c r="I564" s="104"/>
      <c r="J564" s="104"/>
      <c r="K564" s="118"/>
      <c r="L564" s="118"/>
      <c r="M564" s="119"/>
      <c r="N564" s="104"/>
      <c r="O564" s="120"/>
      <c r="P564" s="104"/>
      <c r="Q564" s="150"/>
      <c r="R564" s="148"/>
      <c r="S564" s="150"/>
      <c r="T564" s="152"/>
    </row>
    <row r="565" spans="3:20" ht="20.25" customHeight="1">
      <c r="C565" s="96"/>
      <c r="D565" s="102">
        <f t="shared" si="109"/>
        <v>565</v>
      </c>
      <c r="E565" s="106" t="s">
        <v>571</v>
      </c>
      <c r="F565" s="108">
        <f t="shared" si="122"/>
        <v>564</v>
      </c>
      <c r="G565" s="105" t="s">
        <v>37</v>
      </c>
      <c r="H565" s="105"/>
      <c r="I565" s="104" t="s">
        <v>560</v>
      </c>
      <c r="J565" s="104" t="str">
        <f>J563</f>
        <v>40NB</v>
      </c>
      <c r="K565" s="118">
        <v>1</v>
      </c>
      <c r="L565" s="118" t="s">
        <v>81</v>
      </c>
      <c r="M565" s="119">
        <v>1</v>
      </c>
      <c r="N565" s="104" t="s">
        <v>81</v>
      </c>
      <c r="O565" s="120">
        <v>0.5</v>
      </c>
      <c r="P565" s="104" t="s">
        <v>112</v>
      </c>
      <c r="Q565" s="150">
        <f t="shared" si="120"/>
        <v>0.5</v>
      </c>
      <c r="R565" s="148">
        <v>1</v>
      </c>
      <c r="S565" s="150">
        <f t="shared" si="121"/>
        <v>1.5</v>
      </c>
      <c r="T565" s="152" t="s">
        <v>48</v>
      </c>
    </row>
    <row r="566" spans="3:20" ht="20.25" customHeight="1">
      <c r="C566" s="96"/>
      <c r="D566" s="102">
        <f t="shared" si="109"/>
        <v>566</v>
      </c>
      <c r="E566" s="106" t="s">
        <v>572</v>
      </c>
      <c r="F566" s="108">
        <f t="shared" si="122"/>
        <v>565</v>
      </c>
      <c r="G566" s="105" t="s">
        <v>115</v>
      </c>
      <c r="H566" s="105"/>
      <c r="I566" s="104">
        <v>10</v>
      </c>
      <c r="J566" s="112" t="s">
        <v>573</v>
      </c>
      <c r="K566" s="118">
        <v>1</v>
      </c>
      <c r="L566" s="118" t="s">
        <v>39</v>
      </c>
      <c r="M566" s="128">
        <f t="shared" ref="M566:M570" si="126">LEFT(J566,SEARCH(" ",J566,1)-1)*K566*3.142/1000</f>
        <v>0.23565</v>
      </c>
      <c r="N566" s="104"/>
      <c r="O566" s="162">
        <f>VLOOKUP(I566,BM!$B$3:$Y$62,17,FALSE)</f>
        <v>1.88</v>
      </c>
      <c r="P566" s="104" t="s">
        <v>112</v>
      </c>
      <c r="Q566" s="150">
        <f t="shared" si="120"/>
        <v>0.44302199999999997</v>
      </c>
      <c r="R566" s="148">
        <v>1</v>
      </c>
      <c r="S566" s="150">
        <f t="shared" si="121"/>
        <v>1.443022</v>
      </c>
      <c r="T566" s="152" t="s">
        <v>48</v>
      </c>
    </row>
    <row r="567" spans="3:20" ht="20.25" customHeight="1">
      <c r="C567" s="96"/>
      <c r="D567" s="102">
        <f t="shared" si="109"/>
        <v>567</v>
      </c>
      <c r="E567" s="106" t="s">
        <v>574</v>
      </c>
      <c r="F567" s="108">
        <f t="shared" si="122"/>
        <v>566</v>
      </c>
      <c r="G567" s="105" t="s">
        <v>115</v>
      </c>
      <c r="H567" s="105"/>
      <c r="I567" s="104">
        <v>10</v>
      </c>
      <c r="J567" s="108" t="str">
        <f>J566</f>
        <v>75 MM</v>
      </c>
      <c r="K567" s="118">
        <v>1</v>
      </c>
      <c r="L567" s="118" t="s">
        <v>39</v>
      </c>
      <c r="M567" s="128">
        <f t="shared" si="126"/>
        <v>0.23565</v>
      </c>
      <c r="N567" s="104"/>
      <c r="O567" s="162">
        <f>VLOOKUP(I567,BM!$B$3:$Y$62,17,FALSE)</f>
        <v>1.88</v>
      </c>
      <c r="P567" s="104" t="s">
        <v>112</v>
      </c>
      <c r="Q567" s="150">
        <f t="shared" si="120"/>
        <v>0.44302199999999997</v>
      </c>
      <c r="R567" s="148">
        <v>1</v>
      </c>
      <c r="S567" s="150">
        <f t="shared" si="121"/>
        <v>1.443022</v>
      </c>
      <c r="T567" s="152" t="s">
        <v>48</v>
      </c>
    </row>
    <row r="568" spans="3:20" ht="20.25" customHeight="1">
      <c r="C568" s="96"/>
      <c r="D568" s="102">
        <f t="shared" si="109"/>
        <v>568</v>
      </c>
      <c r="E568" s="106" t="s">
        <v>575</v>
      </c>
      <c r="F568" s="108">
        <f t="shared" si="122"/>
        <v>567</v>
      </c>
      <c r="G568" s="105" t="s">
        <v>44</v>
      </c>
      <c r="H568" s="105"/>
      <c r="I568" s="104"/>
      <c r="J568" s="108" t="str">
        <f>J567</f>
        <v>75 MM</v>
      </c>
      <c r="K568" s="118">
        <v>2</v>
      </c>
      <c r="L568" s="118" t="s">
        <v>39</v>
      </c>
      <c r="M568" s="119">
        <v>2</v>
      </c>
      <c r="N568" s="104"/>
      <c r="O568" s="120">
        <v>0.5</v>
      </c>
      <c r="P568" s="104" t="s">
        <v>112</v>
      </c>
      <c r="Q568" s="150">
        <f t="shared" si="120"/>
        <v>1</v>
      </c>
      <c r="R568" s="148">
        <v>1</v>
      </c>
      <c r="S568" s="150">
        <f t="shared" si="121"/>
        <v>2</v>
      </c>
      <c r="T568" s="152" t="s">
        <v>48</v>
      </c>
    </row>
    <row r="569" spans="3:20" ht="20.25" customHeight="1">
      <c r="C569" s="96"/>
      <c r="D569" s="102">
        <f t="shared" si="109"/>
        <v>569</v>
      </c>
      <c r="E569" s="106" t="s">
        <v>576</v>
      </c>
      <c r="F569" s="108">
        <f t="shared" si="122"/>
        <v>568</v>
      </c>
      <c r="G569" s="105" t="s">
        <v>115</v>
      </c>
      <c r="H569" s="105"/>
      <c r="I569" s="104">
        <v>10</v>
      </c>
      <c r="J569" s="108" t="str">
        <f>J568</f>
        <v>75 MM</v>
      </c>
      <c r="K569" s="118">
        <v>1</v>
      </c>
      <c r="L569" s="118" t="s">
        <v>39</v>
      </c>
      <c r="M569" s="128">
        <f t="shared" si="126"/>
        <v>0.23565</v>
      </c>
      <c r="N569" s="104"/>
      <c r="O569" s="162">
        <f>VLOOKUP(I569,BM!$B$3:$Y$62,17,FALSE)</f>
        <v>1.88</v>
      </c>
      <c r="P569" s="104" t="s">
        <v>112</v>
      </c>
      <c r="Q569" s="150">
        <f t="shared" si="120"/>
        <v>0.44302199999999997</v>
      </c>
      <c r="R569" s="148">
        <v>1</v>
      </c>
      <c r="S569" s="150">
        <f t="shared" si="121"/>
        <v>1.443022</v>
      </c>
      <c r="T569" s="152" t="s">
        <v>48</v>
      </c>
    </row>
    <row r="570" spans="3:20" ht="20.25" customHeight="1">
      <c r="C570" s="96"/>
      <c r="D570" s="102">
        <f t="shared" si="109"/>
        <v>570</v>
      </c>
      <c r="E570" s="106" t="s">
        <v>577</v>
      </c>
      <c r="F570" s="108">
        <f t="shared" si="122"/>
        <v>569</v>
      </c>
      <c r="G570" s="105" t="s">
        <v>115</v>
      </c>
      <c r="H570" s="105"/>
      <c r="I570" s="104">
        <v>10</v>
      </c>
      <c r="J570" s="108" t="str">
        <f>J569</f>
        <v>75 MM</v>
      </c>
      <c r="K570" s="118">
        <v>1</v>
      </c>
      <c r="L570" s="118" t="s">
        <v>39</v>
      </c>
      <c r="M570" s="128">
        <f t="shared" si="126"/>
        <v>0.23565</v>
      </c>
      <c r="N570" s="104"/>
      <c r="O570" s="162">
        <f>VLOOKUP(I570,BM!$B$3:$Y$62,17,FALSE)</f>
        <v>1.88</v>
      </c>
      <c r="P570" s="104" t="s">
        <v>112</v>
      </c>
      <c r="Q570" s="150">
        <f t="shared" si="120"/>
        <v>0.44302199999999997</v>
      </c>
      <c r="R570" s="148">
        <v>1</v>
      </c>
      <c r="S570" s="150">
        <f t="shared" si="121"/>
        <v>1.443022</v>
      </c>
      <c r="T570" s="152" t="s">
        <v>48</v>
      </c>
    </row>
    <row r="571" spans="3:20" ht="20.25" customHeight="1">
      <c r="C571" s="96">
        <f>D571</f>
        <v>571</v>
      </c>
      <c r="D571" s="102">
        <f t="shared" si="109"/>
        <v>571</v>
      </c>
      <c r="E571" s="103" t="s">
        <v>578</v>
      </c>
      <c r="F571" s="108">
        <f>D564</f>
        <v>564</v>
      </c>
      <c r="G571" s="105"/>
      <c r="H571" s="105"/>
      <c r="I571" s="104"/>
      <c r="J571" s="104"/>
      <c r="K571" s="118"/>
      <c r="L571" s="118"/>
      <c r="M571" s="119"/>
      <c r="N571" s="104"/>
      <c r="O571" s="120"/>
      <c r="P571" s="104"/>
      <c r="Q571" s="150"/>
      <c r="R571" s="148"/>
      <c r="S571" s="150"/>
      <c r="T571" s="152"/>
    </row>
    <row r="572" spans="3:20" ht="20.25" customHeight="1">
      <c r="C572" s="96"/>
      <c r="D572" s="102">
        <f t="shared" si="109"/>
        <v>572</v>
      </c>
      <c r="E572" s="106" t="s">
        <v>579</v>
      </c>
      <c r="F572" s="108">
        <f t="shared" si="122"/>
        <v>571</v>
      </c>
      <c r="G572" s="105" t="s">
        <v>149</v>
      </c>
      <c r="H572" s="105"/>
      <c r="I572" s="104">
        <v>20</v>
      </c>
      <c r="J572" s="108" t="str">
        <f>J563</f>
        <v>40NB</v>
      </c>
      <c r="K572" s="118">
        <v>1</v>
      </c>
      <c r="L572" s="118" t="s">
        <v>39</v>
      </c>
      <c r="M572" s="119">
        <v>1</v>
      </c>
      <c r="N572" s="104" t="s">
        <v>564</v>
      </c>
      <c r="O572" s="162">
        <f>VLOOKUP(I572,BM!$B$3:$Y$62,23,FALSE)</f>
        <v>8</v>
      </c>
      <c r="P572" s="104" t="s">
        <v>112</v>
      </c>
      <c r="Q572" s="150">
        <f t="shared" si="120"/>
        <v>8</v>
      </c>
      <c r="R572" s="148">
        <v>1</v>
      </c>
      <c r="S572" s="150">
        <f t="shared" si="121"/>
        <v>9</v>
      </c>
      <c r="T572" s="152" t="s">
        <v>48</v>
      </c>
    </row>
    <row r="573" spans="3:20" ht="20.25" customHeight="1">
      <c r="C573" s="96"/>
      <c r="D573" s="102">
        <f t="shared" si="109"/>
        <v>573</v>
      </c>
      <c r="E573" s="106" t="s">
        <v>580</v>
      </c>
      <c r="F573" s="108">
        <f t="shared" si="122"/>
        <v>572</v>
      </c>
      <c r="G573" s="105" t="s">
        <v>63</v>
      </c>
      <c r="H573" s="105"/>
      <c r="I573" s="104" t="s">
        <v>581</v>
      </c>
      <c r="J573" s="108" t="str">
        <f>J563</f>
        <v>40NB</v>
      </c>
      <c r="K573" s="118">
        <v>1</v>
      </c>
      <c r="L573" s="118" t="s">
        <v>485</v>
      </c>
      <c r="M573" s="119">
        <v>1</v>
      </c>
      <c r="N573" s="104" t="s">
        <v>39</v>
      </c>
      <c r="O573" s="120">
        <v>1</v>
      </c>
      <c r="P573" s="104" t="s">
        <v>41</v>
      </c>
      <c r="Q573" s="150">
        <f t="shared" si="120"/>
        <v>1</v>
      </c>
      <c r="R573" s="148"/>
      <c r="S573" s="150">
        <f t="shared" si="121"/>
        <v>1</v>
      </c>
      <c r="T573" s="152" t="s">
        <v>48</v>
      </c>
    </row>
    <row r="574" spans="3:20" ht="20.25" customHeight="1">
      <c r="C574" s="96">
        <f t="shared" ref="C574:C575" si="127">D574</f>
        <v>574</v>
      </c>
      <c r="D574" s="102">
        <f t="shared" si="109"/>
        <v>574</v>
      </c>
      <c r="E574" s="163" t="s">
        <v>582</v>
      </c>
      <c r="F574" s="108"/>
      <c r="G574" s="105"/>
      <c r="H574" s="105"/>
      <c r="I574" s="104"/>
      <c r="J574" s="104"/>
      <c r="K574" s="118"/>
      <c r="L574" s="118"/>
      <c r="M574" s="119"/>
      <c r="N574" s="104"/>
      <c r="O574" s="120"/>
      <c r="P574" s="104"/>
      <c r="Q574" s="150"/>
      <c r="R574" s="148"/>
      <c r="S574" s="150"/>
      <c r="T574" s="152"/>
    </row>
    <row r="575" spans="3:20" ht="20.25" customHeight="1">
      <c r="C575" s="96">
        <f t="shared" si="127"/>
        <v>575</v>
      </c>
      <c r="D575" s="102">
        <f t="shared" si="109"/>
        <v>575</v>
      </c>
      <c r="E575" s="103" t="s">
        <v>583</v>
      </c>
      <c r="F575" s="112">
        <f>D13</f>
        <v>13</v>
      </c>
      <c r="G575" s="105"/>
      <c r="H575" s="105"/>
      <c r="I575" s="104"/>
      <c r="J575" s="104"/>
      <c r="K575" s="118"/>
      <c r="L575" s="118"/>
      <c r="M575" s="119"/>
      <c r="N575" s="104"/>
      <c r="O575" s="120"/>
      <c r="P575" s="104"/>
      <c r="Q575" s="150"/>
      <c r="R575" s="148"/>
      <c r="S575" s="150"/>
      <c r="T575" s="152"/>
    </row>
    <row r="576" spans="3:20" ht="20.25" customHeight="1">
      <c r="C576" s="96"/>
      <c r="D576" s="102">
        <f t="shared" si="109"/>
        <v>576</v>
      </c>
      <c r="E576" s="106" t="s">
        <v>584</v>
      </c>
      <c r="F576" s="108">
        <f t="shared" si="122"/>
        <v>575</v>
      </c>
      <c r="G576" s="105" t="s">
        <v>37</v>
      </c>
      <c r="H576" s="105"/>
      <c r="I576" s="104"/>
      <c r="J576" s="104"/>
      <c r="K576" s="118">
        <v>1</v>
      </c>
      <c r="L576" s="141" t="s">
        <v>39</v>
      </c>
      <c r="M576" s="119">
        <v>1</v>
      </c>
      <c r="N576" s="104"/>
      <c r="O576" s="120">
        <v>4</v>
      </c>
      <c r="P576" s="104" t="s">
        <v>41</v>
      </c>
      <c r="Q576" s="150">
        <f t="shared" si="120"/>
        <v>4</v>
      </c>
      <c r="R576" s="148"/>
      <c r="S576" s="150">
        <f t="shared" si="121"/>
        <v>4</v>
      </c>
      <c r="T576" s="152" t="s">
        <v>48</v>
      </c>
    </row>
    <row r="577" spans="3:20" ht="20.25" customHeight="1">
      <c r="C577" s="96"/>
      <c r="D577" s="102">
        <f t="shared" si="109"/>
        <v>577</v>
      </c>
      <c r="E577" s="106" t="s">
        <v>585</v>
      </c>
      <c r="F577" s="108">
        <f t="shared" si="122"/>
        <v>576</v>
      </c>
      <c r="G577" s="105" t="s">
        <v>44</v>
      </c>
      <c r="H577" s="105"/>
      <c r="I577" s="104">
        <v>50</v>
      </c>
      <c r="J577" s="132" t="s">
        <v>586</v>
      </c>
      <c r="K577" s="118">
        <v>1</v>
      </c>
      <c r="L577" s="118" t="s">
        <v>81</v>
      </c>
      <c r="M577" s="128">
        <f>LEFT(J577,SEARCH(" ",J577,1)-1)*1.28*3.142/1000</f>
        <v>6.2337280000000002</v>
      </c>
      <c r="N577" s="104" t="s">
        <v>139</v>
      </c>
      <c r="O577" s="162">
        <f>VLOOKUP(I577,BM!$B$3:$Y$62,2,FALSE)</f>
        <v>0.1</v>
      </c>
      <c r="P577" s="104" t="s">
        <v>112</v>
      </c>
      <c r="Q577" s="150">
        <f t="shared" si="120"/>
        <v>0.62337280000000006</v>
      </c>
      <c r="R577" s="148">
        <v>1</v>
      </c>
      <c r="S577" s="150">
        <f t="shared" si="121"/>
        <v>1.6233728000000001</v>
      </c>
      <c r="T577" s="152" t="s">
        <v>48</v>
      </c>
    </row>
    <row r="578" spans="3:20" ht="20.25" customHeight="1">
      <c r="C578" s="96"/>
      <c r="D578" s="102">
        <f t="shared" si="109"/>
        <v>578</v>
      </c>
      <c r="E578" s="106" t="s">
        <v>587</v>
      </c>
      <c r="F578" s="108">
        <f t="shared" si="122"/>
        <v>577</v>
      </c>
      <c r="G578" s="105" t="s">
        <v>44</v>
      </c>
      <c r="H578" s="105"/>
      <c r="I578" s="108">
        <v>50</v>
      </c>
      <c r="J578" s="132" t="s">
        <v>586</v>
      </c>
      <c r="K578" s="118">
        <v>1</v>
      </c>
      <c r="L578" s="118" t="s">
        <v>81</v>
      </c>
      <c r="M578" s="142">
        <v>1</v>
      </c>
      <c r="N578" s="132" t="s">
        <v>81</v>
      </c>
      <c r="O578" s="162">
        <v>1</v>
      </c>
      <c r="P578" s="132" t="s">
        <v>162</v>
      </c>
      <c r="Q578" s="150">
        <f t="shared" si="120"/>
        <v>1</v>
      </c>
      <c r="R578" s="148">
        <v>1</v>
      </c>
      <c r="S578" s="150">
        <f t="shared" si="121"/>
        <v>2</v>
      </c>
      <c r="T578" s="152" t="s">
        <v>48</v>
      </c>
    </row>
    <row r="579" spans="3:20" ht="20.25" customHeight="1">
      <c r="C579" s="96"/>
      <c r="D579" s="102">
        <f t="shared" ref="D579:D642" si="128">D578+1</f>
        <v>579</v>
      </c>
      <c r="E579" s="106" t="s">
        <v>588</v>
      </c>
      <c r="F579" s="108">
        <f t="shared" si="122"/>
        <v>578</v>
      </c>
      <c r="G579" s="105" t="s">
        <v>52</v>
      </c>
      <c r="H579" s="105"/>
      <c r="I579" s="108">
        <v>50</v>
      </c>
      <c r="J579" s="132" t="s">
        <v>586</v>
      </c>
      <c r="K579" s="118">
        <v>1</v>
      </c>
      <c r="L579" s="118" t="s">
        <v>81</v>
      </c>
      <c r="M579" s="128">
        <f>LEFT(J579,SEARCH(" ",J579,1)-1)*1.28*3.142/1000</f>
        <v>6.2337280000000002</v>
      </c>
      <c r="N579" s="104" t="s">
        <v>139</v>
      </c>
      <c r="O579" s="162">
        <f>VLOOKUP(I579,BM!$B$3:$Y$62,3,FALSE)</f>
        <v>0.25</v>
      </c>
      <c r="P579" s="104" t="s">
        <v>112</v>
      </c>
      <c r="Q579" s="150">
        <f t="shared" si="120"/>
        <v>1.558432</v>
      </c>
      <c r="R579" s="148">
        <v>1</v>
      </c>
      <c r="S579" s="150">
        <f t="shared" si="121"/>
        <v>2.5584319999999998</v>
      </c>
      <c r="T579" s="152" t="s">
        <v>48</v>
      </c>
    </row>
    <row r="580" spans="3:20" ht="20.25" customHeight="1">
      <c r="C580" s="96"/>
      <c r="D580" s="102">
        <f t="shared" si="128"/>
        <v>580</v>
      </c>
      <c r="E580" s="106" t="s">
        <v>589</v>
      </c>
      <c r="F580" s="108">
        <f t="shared" si="122"/>
        <v>579</v>
      </c>
      <c r="G580" s="105" t="s">
        <v>61</v>
      </c>
      <c r="H580" s="105"/>
      <c r="I580" s="108">
        <f>I577</f>
        <v>50</v>
      </c>
      <c r="J580" s="132" t="s">
        <v>586</v>
      </c>
      <c r="K580" s="118">
        <v>1</v>
      </c>
      <c r="L580" s="118" t="s">
        <v>81</v>
      </c>
      <c r="M580" s="128">
        <f>LEFT(J580,SEARCH(" ",J580,1)-1)*1.28*3.142/1000</f>
        <v>6.2337280000000002</v>
      </c>
      <c r="N580" s="104" t="s">
        <v>139</v>
      </c>
      <c r="O580" s="162">
        <f>VLOOKUP(I580,BM!$B$3:$Y$62,6,FALSE)</f>
        <v>1</v>
      </c>
      <c r="P580" s="104" t="s">
        <v>112</v>
      </c>
      <c r="Q580" s="150">
        <f t="shared" si="120"/>
        <v>6.2337280000000002</v>
      </c>
      <c r="R580" s="148">
        <v>1</v>
      </c>
      <c r="S580" s="150">
        <f t="shared" si="121"/>
        <v>7.2337280000000002</v>
      </c>
      <c r="T580" s="152" t="s">
        <v>48</v>
      </c>
    </row>
    <row r="581" spans="3:20" ht="20.25" customHeight="1">
      <c r="C581" s="96">
        <f>D581</f>
        <v>581</v>
      </c>
      <c r="D581" s="102">
        <f t="shared" si="128"/>
        <v>581</v>
      </c>
      <c r="E581" s="103" t="s">
        <v>590</v>
      </c>
      <c r="F581" s="108">
        <f>D575</f>
        <v>575</v>
      </c>
      <c r="G581" s="105"/>
      <c r="H581" s="105"/>
      <c r="I581" s="104"/>
      <c r="J581" s="104"/>
      <c r="K581" s="118"/>
      <c r="L581" s="118"/>
      <c r="M581" s="119"/>
      <c r="N581" s="104"/>
      <c r="O581" s="120"/>
      <c r="P581" s="104"/>
      <c r="Q581" s="150"/>
      <c r="R581" s="148"/>
      <c r="S581" s="150"/>
      <c r="T581" s="152"/>
    </row>
    <row r="582" spans="3:20" ht="20.25" customHeight="1">
      <c r="C582" s="96"/>
      <c r="D582" s="102">
        <f t="shared" si="128"/>
        <v>582</v>
      </c>
      <c r="E582" s="106" t="s">
        <v>591</v>
      </c>
      <c r="F582" s="108">
        <f t="shared" si="122"/>
        <v>581</v>
      </c>
      <c r="G582" s="105" t="s">
        <v>55</v>
      </c>
      <c r="H582" s="105"/>
      <c r="I582" s="108">
        <f>I580</f>
        <v>50</v>
      </c>
      <c r="J582" s="104" t="str">
        <f>J579</f>
        <v>1550 mm id</v>
      </c>
      <c r="K582" s="118">
        <v>1</v>
      </c>
      <c r="L582" s="118" t="s">
        <v>81</v>
      </c>
      <c r="M582" s="119">
        <v>1</v>
      </c>
      <c r="N582" s="104" t="s">
        <v>39</v>
      </c>
      <c r="O582" s="120">
        <v>10</v>
      </c>
      <c r="P582" s="104" t="s">
        <v>41</v>
      </c>
      <c r="Q582" s="150">
        <f t="shared" si="120"/>
        <v>10</v>
      </c>
      <c r="R582" s="148"/>
      <c r="S582" s="150">
        <f t="shared" si="121"/>
        <v>10</v>
      </c>
      <c r="T582" s="152" t="s">
        <v>48</v>
      </c>
    </row>
    <row r="583" spans="3:20" ht="20.25" customHeight="1">
      <c r="C583" s="96"/>
      <c r="D583" s="102">
        <f t="shared" si="128"/>
        <v>583</v>
      </c>
      <c r="E583" s="106" t="s">
        <v>592</v>
      </c>
      <c r="F583" s="108">
        <f t="shared" si="122"/>
        <v>582</v>
      </c>
      <c r="G583" s="105" t="s">
        <v>44</v>
      </c>
      <c r="H583" s="105"/>
      <c r="I583" s="108">
        <f>I580</f>
        <v>50</v>
      </c>
      <c r="J583" s="104" t="str">
        <f>J580</f>
        <v>1550 mm id</v>
      </c>
      <c r="K583" s="118">
        <v>1</v>
      </c>
      <c r="L583" s="118" t="s">
        <v>81</v>
      </c>
      <c r="M583" s="119">
        <v>1</v>
      </c>
      <c r="N583" s="104" t="s">
        <v>39</v>
      </c>
      <c r="O583" s="120">
        <v>1</v>
      </c>
      <c r="P583" s="104" t="s">
        <v>41</v>
      </c>
      <c r="Q583" s="150">
        <f t="shared" si="120"/>
        <v>1</v>
      </c>
      <c r="R583" s="148"/>
      <c r="S583" s="150">
        <f t="shared" si="121"/>
        <v>1</v>
      </c>
      <c r="T583" s="152" t="s">
        <v>48</v>
      </c>
    </row>
    <row r="584" spans="3:20" ht="20.25" customHeight="1">
      <c r="C584" s="96">
        <f>D584</f>
        <v>584</v>
      </c>
      <c r="D584" s="102">
        <f t="shared" si="128"/>
        <v>584</v>
      </c>
      <c r="E584" s="103" t="s">
        <v>593</v>
      </c>
      <c r="F584" s="108">
        <f>D581</f>
        <v>581</v>
      </c>
      <c r="G584" s="105"/>
      <c r="H584" s="105"/>
      <c r="I584" s="104"/>
      <c r="J584" s="104"/>
      <c r="K584" s="118"/>
      <c r="L584" s="118"/>
      <c r="M584" s="119"/>
      <c r="N584" s="104"/>
      <c r="O584" s="120"/>
      <c r="P584" s="104"/>
      <c r="Q584" s="150"/>
      <c r="R584" s="148"/>
      <c r="S584" s="150"/>
      <c r="T584" s="152"/>
    </row>
    <row r="585" spans="3:20" ht="20.25" customHeight="1">
      <c r="C585" s="96"/>
      <c r="D585" s="102">
        <f t="shared" si="128"/>
        <v>585</v>
      </c>
      <c r="E585" s="106" t="s">
        <v>594</v>
      </c>
      <c r="F585" s="108">
        <f t="shared" si="122"/>
        <v>584</v>
      </c>
      <c r="G585" s="105" t="s">
        <v>44</v>
      </c>
      <c r="H585" s="105"/>
      <c r="I585" s="108">
        <f>I583</f>
        <v>50</v>
      </c>
      <c r="J585" s="104" t="str">
        <f>J583</f>
        <v>1550 mm id</v>
      </c>
      <c r="K585" s="118">
        <v>1</v>
      </c>
      <c r="L585" s="118" t="s">
        <v>81</v>
      </c>
      <c r="M585" s="119">
        <v>1</v>
      </c>
      <c r="N585" s="104" t="s">
        <v>39</v>
      </c>
      <c r="O585" s="120">
        <v>4</v>
      </c>
      <c r="P585" s="104" t="s">
        <v>595</v>
      </c>
      <c r="Q585" s="150">
        <f t="shared" si="120"/>
        <v>4</v>
      </c>
      <c r="R585" s="148"/>
      <c r="S585" s="150">
        <f t="shared" si="121"/>
        <v>4</v>
      </c>
      <c r="T585" s="152" t="s">
        <v>48</v>
      </c>
    </row>
    <row r="586" spans="3:20" ht="20.25" customHeight="1">
      <c r="C586" s="96"/>
      <c r="D586" s="102">
        <f t="shared" si="128"/>
        <v>586</v>
      </c>
      <c r="E586" s="106" t="s">
        <v>593</v>
      </c>
      <c r="F586" s="108">
        <f t="shared" si="122"/>
        <v>585</v>
      </c>
      <c r="G586" s="105" t="s">
        <v>52</v>
      </c>
      <c r="H586" s="105"/>
      <c r="I586" s="108">
        <f>I583</f>
        <v>50</v>
      </c>
      <c r="J586" s="104" t="str">
        <f>J583</f>
        <v>1550 mm id</v>
      </c>
      <c r="K586" s="118">
        <v>1</v>
      </c>
      <c r="L586" s="118" t="s">
        <v>81</v>
      </c>
      <c r="M586" s="128">
        <f>LEFT(J586,SEARCH(" ",J586,1)-1)*1.28*3.142/1000</f>
        <v>6.2337280000000002</v>
      </c>
      <c r="N586" s="104" t="s">
        <v>249</v>
      </c>
      <c r="O586" s="162">
        <f>VLOOKUP(I586,BM!$B$3:$Y$62,2,FALSE)</f>
        <v>0.1</v>
      </c>
      <c r="P586" s="104" t="s">
        <v>112</v>
      </c>
      <c r="Q586" s="150">
        <f t="shared" si="120"/>
        <v>0.62337280000000006</v>
      </c>
      <c r="R586" s="148">
        <v>2</v>
      </c>
      <c r="S586" s="150">
        <f t="shared" si="121"/>
        <v>2.6233728000000003</v>
      </c>
      <c r="T586" s="152" t="s">
        <v>48</v>
      </c>
    </row>
    <row r="587" spans="3:20" ht="20.25" customHeight="1">
      <c r="C587" s="96">
        <f>D587</f>
        <v>587</v>
      </c>
      <c r="D587" s="102">
        <f t="shared" si="128"/>
        <v>587</v>
      </c>
      <c r="E587" s="103" t="s">
        <v>596</v>
      </c>
      <c r="F587" s="108">
        <f>D584</f>
        <v>584</v>
      </c>
      <c r="G587" s="105"/>
      <c r="H587" s="105"/>
      <c r="I587" s="104"/>
      <c r="J587" s="104"/>
      <c r="K587" s="118"/>
      <c r="L587" s="118"/>
      <c r="M587" s="119"/>
      <c r="N587" s="104"/>
      <c r="O587" s="120"/>
      <c r="P587" s="104"/>
      <c r="Q587" s="150"/>
      <c r="R587" s="148"/>
      <c r="S587" s="150"/>
      <c r="T587" s="152"/>
    </row>
    <row r="588" spans="3:20" ht="20.25" customHeight="1">
      <c r="C588" s="96"/>
      <c r="D588" s="102">
        <f t="shared" si="128"/>
        <v>588</v>
      </c>
      <c r="E588" s="106" t="s">
        <v>597</v>
      </c>
      <c r="F588" s="108">
        <f t="shared" si="122"/>
        <v>587</v>
      </c>
      <c r="G588" s="105" t="s">
        <v>121</v>
      </c>
      <c r="H588" s="105"/>
      <c r="I588" s="108">
        <v>25</v>
      </c>
      <c r="J588" s="104" t="str">
        <f>J586</f>
        <v>1550 mm id</v>
      </c>
      <c r="K588" s="118">
        <v>1</v>
      </c>
      <c r="L588" s="118" t="s">
        <v>81</v>
      </c>
      <c r="M588" s="128">
        <f>LEFT(J588,SEARCH(" ",J588,1)-1)*1.28*3.142/1000</f>
        <v>6.2337280000000002</v>
      </c>
      <c r="N588" s="104" t="s">
        <v>249</v>
      </c>
      <c r="O588" s="162">
        <f>VLOOKUP(I588,BM!$B$3:$Y$62,6,FALSE)</f>
        <v>1</v>
      </c>
      <c r="P588" s="104" t="s">
        <v>112</v>
      </c>
      <c r="Q588" s="150">
        <f t="shared" si="120"/>
        <v>6.2337280000000002</v>
      </c>
      <c r="R588" s="148">
        <v>2</v>
      </c>
      <c r="S588" s="150">
        <f t="shared" si="121"/>
        <v>8.2337279999999993</v>
      </c>
      <c r="T588" s="152" t="s">
        <v>48</v>
      </c>
    </row>
    <row r="589" spans="3:20" ht="20.25" customHeight="1">
      <c r="C589" s="96">
        <f>D589</f>
        <v>589</v>
      </c>
      <c r="D589" s="102">
        <f t="shared" si="128"/>
        <v>589</v>
      </c>
      <c r="E589" s="103" t="s">
        <v>598</v>
      </c>
      <c r="F589" s="108">
        <f>D587</f>
        <v>587</v>
      </c>
      <c r="G589" s="105"/>
      <c r="H589" s="105"/>
      <c r="I589" s="104"/>
      <c r="J589" s="104"/>
      <c r="K589" s="118"/>
      <c r="L589" s="118"/>
      <c r="M589" s="119"/>
      <c r="N589" s="104"/>
      <c r="O589" s="120"/>
      <c r="P589" s="104"/>
      <c r="Q589" s="150"/>
      <c r="R589" s="148"/>
      <c r="S589" s="150"/>
      <c r="T589" s="152"/>
    </row>
    <row r="590" spans="3:20" ht="20.25" customHeight="1">
      <c r="C590" s="96"/>
      <c r="D590" s="102">
        <f t="shared" si="128"/>
        <v>590</v>
      </c>
      <c r="E590" s="106" t="s">
        <v>598</v>
      </c>
      <c r="F590" s="108">
        <f t="shared" si="122"/>
        <v>589</v>
      </c>
      <c r="G590" s="105" t="s">
        <v>111</v>
      </c>
      <c r="H590" s="105"/>
      <c r="I590" s="108">
        <f>I588</f>
        <v>25</v>
      </c>
      <c r="J590" s="104" t="str">
        <f>J588</f>
        <v>1550 mm id</v>
      </c>
      <c r="K590" s="118">
        <v>1</v>
      </c>
      <c r="L590" s="118" t="s">
        <v>81</v>
      </c>
      <c r="M590" s="128">
        <f>LEFT(J590,SEARCH(" ",J590,1)-1)*1.28*3.142/1000</f>
        <v>6.2337280000000002</v>
      </c>
      <c r="N590" s="104" t="s">
        <v>249</v>
      </c>
      <c r="O590" s="162">
        <f>VLOOKUP(I590,BM!$B$3:$Y$62,15,FALSE)</f>
        <v>1</v>
      </c>
      <c r="P590" s="104" t="s">
        <v>112</v>
      </c>
      <c r="Q590" s="150">
        <f t="shared" si="120"/>
        <v>6.2337280000000002</v>
      </c>
      <c r="R590" s="148">
        <v>2</v>
      </c>
      <c r="S590" s="150">
        <f t="shared" si="121"/>
        <v>8.2337279999999993</v>
      </c>
      <c r="T590" s="152" t="s">
        <v>48</v>
      </c>
    </row>
    <row r="591" spans="3:20" ht="20.25" customHeight="1">
      <c r="C591" s="96">
        <f>D591</f>
        <v>591</v>
      </c>
      <c r="D591" s="102">
        <f t="shared" si="128"/>
        <v>591</v>
      </c>
      <c r="E591" s="103" t="s">
        <v>599</v>
      </c>
      <c r="F591" s="108">
        <f>D589</f>
        <v>589</v>
      </c>
      <c r="G591" s="105"/>
      <c r="H591" s="105"/>
      <c r="I591" s="104"/>
      <c r="J591" s="104"/>
      <c r="K591" s="118"/>
      <c r="L591" s="118"/>
      <c r="M591" s="119"/>
      <c r="N591" s="104"/>
      <c r="O591" s="120"/>
      <c r="P591" s="104"/>
      <c r="Q591" s="150"/>
      <c r="R591" s="148"/>
      <c r="S591" s="150"/>
      <c r="T591" s="152"/>
    </row>
    <row r="592" spans="3:20" ht="20.25" customHeight="1">
      <c r="C592" s="96"/>
      <c r="D592" s="102">
        <f t="shared" si="128"/>
        <v>592</v>
      </c>
      <c r="E592" s="106" t="s">
        <v>599</v>
      </c>
      <c r="F592" s="108">
        <f t="shared" si="122"/>
        <v>591</v>
      </c>
      <c r="G592" s="105" t="s">
        <v>115</v>
      </c>
      <c r="H592" s="105"/>
      <c r="I592" s="104">
        <v>30</v>
      </c>
      <c r="J592" s="104" t="str">
        <f>J590</f>
        <v>1550 mm id</v>
      </c>
      <c r="K592" s="118">
        <v>1</v>
      </c>
      <c r="L592" s="118" t="s">
        <v>81</v>
      </c>
      <c r="M592" s="128">
        <f>LEFT(J592,SEARCH(" ",J592,1)-1)*1.28*3.142/1000</f>
        <v>6.2337280000000002</v>
      </c>
      <c r="N592" s="104" t="s">
        <v>249</v>
      </c>
      <c r="O592" s="162">
        <f>VLOOKUP(I592,BM!$B$3:$Y$62,23,FALSE)</f>
        <v>16.8</v>
      </c>
      <c r="P592" s="104" t="s">
        <v>112</v>
      </c>
      <c r="Q592" s="150">
        <f t="shared" si="120"/>
        <v>104.7266304</v>
      </c>
      <c r="R592" s="148">
        <v>2</v>
      </c>
      <c r="S592" s="150">
        <f t="shared" si="121"/>
        <v>106.7266304</v>
      </c>
      <c r="T592" s="152" t="s">
        <v>48</v>
      </c>
    </row>
    <row r="593" spans="3:20" ht="20.25" customHeight="1">
      <c r="C593" s="96"/>
      <c r="D593" s="102">
        <f t="shared" si="128"/>
        <v>593</v>
      </c>
      <c r="E593" s="106" t="s">
        <v>600</v>
      </c>
      <c r="F593" s="108">
        <f t="shared" si="122"/>
        <v>592</v>
      </c>
      <c r="G593" s="105" t="s">
        <v>299</v>
      </c>
      <c r="H593" s="105"/>
      <c r="I593" s="104">
        <v>16</v>
      </c>
      <c r="J593" s="104" t="str">
        <f>J592</f>
        <v>1550 mm id</v>
      </c>
      <c r="K593" s="118">
        <v>1</v>
      </c>
      <c r="L593" s="118" t="s">
        <v>81</v>
      </c>
      <c r="M593" s="119">
        <v>1</v>
      </c>
      <c r="N593" s="104" t="s">
        <v>39</v>
      </c>
      <c r="O593" s="120">
        <v>4</v>
      </c>
      <c r="P593" s="104" t="s">
        <v>112</v>
      </c>
      <c r="Q593" s="150">
        <f t="shared" si="120"/>
        <v>4</v>
      </c>
      <c r="R593" s="148">
        <v>1</v>
      </c>
      <c r="S593" s="150">
        <f t="shared" si="121"/>
        <v>5</v>
      </c>
      <c r="T593" s="152" t="s">
        <v>48</v>
      </c>
    </row>
    <row r="594" spans="3:20" ht="20.25" customHeight="1">
      <c r="C594" s="96"/>
      <c r="D594" s="102">
        <f t="shared" si="128"/>
        <v>594</v>
      </c>
      <c r="E594" s="106" t="s">
        <v>601</v>
      </c>
      <c r="F594" s="108">
        <f t="shared" si="122"/>
        <v>593</v>
      </c>
      <c r="G594" s="105" t="s">
        <v>115</v>
      </c>
      <c r="H594" s="105"/>
      <c r="I594" s="104">
        <v>16</v>
      </c>
      <c r="J594" s="132" t="s">
        <v>602</v>
      </c>
      <c r="K594" s="118">
        <v>1</v>
      </c>
      <c r="L594" s="118" t="s">
        <v>81</v>
      </c>
      <c r="M594" s="128">
        <f>LEFT(J594,SEARCH(" ",J594,1)-1)/1000</f>
        <v>3</v>
      </c>
      <c r="N594" s="104" t="s">
        <v>249</v>
      </c>
      <c r="O594" s="162">
        <f>VLOOKUP(I594,BM!$B$3:$Y$62,22,FALSE)</f>
        <v>2.8</v>
      </c>
      <c r="P594" s="104" t="s">
        <v>112</v>
      </c>
      <c r="Q594" s="150">
        <f t="shared" si="120"/>
        <v>8.3999999999999986</v>
      </c>
      <c r="R594" s="148">
        <v>2</v>
      </c>
      <c r="S594" s="150">
        <f t="shared" si="121"/>
        <v>10.399999999999999</v>
      </c>
      <c r="T594" s="152" t="s">
        <v>48</v>
      </c>
    </row>
    <row r="595" spans="3:20" ht="20.25" customHeight="1">
      <c r="C595" s="96"/>
      <c r="D595" s="102">
        <f t="shared" si="128"/>
        <v>595</v>
      </c>
      <c r="E595" s="106" t="s">
        <v>603</v>
      </c>
      <c r="F595" s="108">
        <f t="shared" si="122"/>
        <v>594</v>
      </c>
      <c r="G595" s="105" t="s">
        <v>44</v>
      </c>
      <c r="H595" s="105"/>
      <c r="I595" s="104">
        <v>16</v>
      </c>
      <c r="J595" s="104" t="str">
        <f>J594</f>
        <v>3000 mm</v>
      </c>
      <c r="K595" s="118">
        <v>1</v>
      </c>
      <c r="L595" s="118" t="s">
        <v>81</v>
      </c>
      <c r="M595" s="119">
        <v>1</v>
      </c>
      <c r="N595" s="104" t="s">
        <v>39</v>
      </c>
      <c r="O595" s="120">
        <v>6</v>
      </c>
      <c r="P595" s="104" t="s">
        <v>112</v>
      </c>
      <c r="Q595" s="150">
        <f t="shared" si="120"/>
        <v>6</v>
      </c>
      <c r="R595" s="148">
        <v>1</v>
      </c>
      <c r="S595" s="150">
        <f t="shared" si="121"/>
        <v>7</v>
      </c>
      <c r="T595" s="152" t="s">
        <v>48</v>
      </c>
    </row>
    <row r="596" spans="3:20" ht="20.25" customHeight="1">
      <c r="C596" s="96"/>
      <c r="D596" s="102">
        <f t="shared" si="128"/>
        <v>596</v>
      </c>
      <c r="E596" s="106" t="s">
        <v>604</v>
      </c>
      <c r="F596" s="108">
        <f t="shared" si="122"/>
        <v>595</v>
      </c>
      <c r="G596" s="105" t="s">
        <v>63</v>
      </c>
      <c r="H596" s="105"/>
      <c r="I596" s="104">
        <v>16</v>
      </c>
      <c r="J596" s="104" t="str">
        <f>J595</f>
        <v>3000 mm</v>
      </c>
      <c r="K596" s="118">
        <v>1</v>
      </c>
      <c r="L596" s="118" t="s">
        <v>81</v>
      </c>
      <c r="M596" s="119">
        <v>1</v>
      </c>
      <c r="N596" s="104" t="s">
        <v>39</v>
      </c>
      <c r="O596" s="120">
        <v>1</v>
      </c>
      <c r="P596" s="104" t="s">
        <v>112</v>
      </c>
      <c r="Q596" s="150">
        <f t="shared" si="120"/>
        <v>1</v>
      </c>
      <c r="R596" s="148">
        <v>1</v>
      </c>
      <c r="S596" s="150">
        <f t="shared" si="121"/>
        <v>2</v>
      </c>
      <c r="T596" s="152" t="s">
        <v>48</v>
      </c>
    </row>
    <row r="597" spans="3:20" ht="20.25" customHeight="1">
      <c r="C597" s="96">
        <f>D597</f>
        <v>597</v>
      </c>
      <c r="D597" s="102">
        <f t="shared" si="128"/>
        <v>597</v>
      </c>
      <c r="E597" s="103" t="s">
        <v>605</v>
      </c>
      <c r="F597" s="108">
        <f>D591</f>
        <v>591</v>
      </c>
      <c r="G597" s="105"/>
      <c r="H597" s="105"/>
      <c r="I597" s="104"/>
      <c r="J597" s="104"/>
      <c r="K597" s="118"/>
      <c r="L597" s="118"/>
      <c r="M597" s="119"/>
      <c r="N597" s="104"/>
      <c r="O597" s="120"/>
      <c r="P597" s="104"/>
      <c r="Q597" s="150"/>
      <c r="R597" s="148"/>
      <c r="S597" s="150"/>
      <c r="T597" s="152"/>
    </row>
    <row r="598" spans="3:20" ht="20.25" customHeight="1">
      <c r="C598" s="96"/>
      <c r="D598" s="102">
        <f t="shared" si="128"/>
        <v>598</v>
      </c>
      <c r="E598" s="106" t="s">
        <v>606</v>
      </c>
      <c r="F598" s="108">
        <f t="shared" si="122"/>
        <v>597</v>
      </c>
      <c r="G598" s="105" t="s">
        <v>55</v>
      </c>
      <c r="H598" s="105"/>
      <c r="I598" s="104"/>
      <c r="J598" s="104" t="str">
        <f>J593</f>
        <v>1550 mm id</v>
      </c>
      <c r="K598" s="118">
        <v>1</v>
      </c>
      <c r="L598" s="118" t="s">
        <v>81</v>
      </c>
      <c r="M598" s="119">
        <v>1</v>
      </c>
      <c r="N598" s="104" t="s">
        <v>39</v>
      </c>
      <c r="O598" s="120">
        <v>3</v>
      </c>
      <c r="P598" s="104" t="s">
        <v>41</v>
      </c>
      <c r="Q598" s="150">
        <f t="shared" si="120"/>
        <v>3</v>
      </c>
      <c r="R598" s="148">
        <v>0</v>
      </c>
      <c r="S598" s="150">
        <f t="shared" si="121"/>
        <v>3</v>
      </c>
      <c r="T598" s="152" t="s">
        <v>48</v>
      </c>
    </row>
    <row r="599" spans="3:20" ht="20.25" customHeight="1">
      <c r="C599" s="96"/>
      <c r="D599" s="102">
        <f t="shared" si="128"/>
        <v>599</v>
      </c>
      <c r="E599" s="106" t="s">
        <v>607</v>
      </c>
      <c r="F599" s="108">
        <f t="shared" si="122"/>
        <v>598</v>
      </c>
      <c r="G599" s="105" t="s">
        <v>55</v>
      </c>
      <c r="H599" s="105"/>
      <c r="I599" s="104"/>
      <c r="J599" s="104" t="str">
        <f>J598</f>
        <v>1550 mm id</v>
      </c>
      <c r="K599" s="118">
        <v>1</v>
      </c>
      <c r="L599" s="118" t="s">
        <v>81</v>
      </c>
      <c r="M599" s="119">
        <v>1</v>
      </c>
      <c r="N599" s="104" t="s">
        <v>39</v>
      </c>
      <c r="O599" s="120">
        <v>4</v>
      </c>
      <c r="P599" s="104" t="s">
        <v>41</v>
      </c>
      <c r="Q599" s="150">
        <f t="shared" si="120"/>
        <v>4</v>
      </c>
      <c r="R599" s="148">
        <v>0</v>
      </c>
      <c r="S599" s="150">
        <f t="shared" si="121"/>
        <v>4</v>
      </c>
      <c r="T599" s="152" t="s">
        <v>48</v>
      </c>
    </row>
    <row r="600" spans="3:20" ht="20.25" customHeight="1">
      <c r="C600" s="96"/>
      <c r="D600" s="102">
        <f t="shared" si="128"/>
        <v>600</v>
      </c>
      <c r="E600" s="106" t="s">
        <v>608</v>
      </c>
      <c r="F600" s="108">
        <f t="shared" si="122"/>
        <v>599</v>
      </c>
      <c r="G600" s="105" t="s">
        <v>44</v>
      </c>
      <c r="H600" s="105"/>
      <c r="I600" s="104"/>
      <c r="J600" s="104" t="str">
        <f>J599</f>
        <v>1550 mm id</v>
      </c>
      <c r="K600" s="118">
        <v>1</v>
      </c>
      <c r="L600" s="118" t="s">
        <v>81</v>
      </c>
      <c r="M600" s="119">
        <v>1</v>
      </c>
      <c r="N600" s="104" t="s">
        <v>39</v>
      </c>
      <c r="O600" s="120">
        <v>0.5</v>
      </c>
      <c r="P600" s="104" t="s">
        <v>41</v>
      </c>
      <c r="Q600" s="150">
        <f t="shared" si="120"/>
        <v>0.5</v>
      </c>
      <c r="R600" s="148">
        <v>0</v>
      </c>
      <c r="S600" s="150">
        <f t="shared" si="121"/>
        <v>0.5</v>
      </c>
      <c r="T600" s="152" t="s">
        <v>48</v>
      </c>
    </row>
    <row r="601" spans="3:20" ht="20.25" customHeight="1">
      <c r="C601" s="96"/>
      <c r="D601" s="102">
        <f t="shared" si="128"/>
        <v>601</v>
      </c>
      <c r="E601" s="106" t="s">
        <v>609</v>
      </c>
      <c r="F601" s="108">
        <f t="shared" si="122"/>
        <v>600</v>
      </c>
      <c r="G601" s="105" t="s">
        <v>55</v>
      </c>
      <c r="H601" s="105"/>
      <c r="I601" s="104" t="s">
        <v>610</v>
      </c>
      <c r="J601" s="104" t="str">
        <f>J600</f>
        <v>1550 mm id</v>
      </c>
      <c r="K601" s="118">
        <v>72</v>
      </c>
      <c r="L601" s="118" t="s">
        <v>611</v>
      </c>
      <c r="M601" s="119">
        <v>1</v>
      </c>
      <c r="N601" s="104" t="s">
        <v>39</v>
      </c>
      <c r="O601" s="120">
        <v>4</v>
      </c>
      <c r="P601" s="104" t="s">
        <v>41</v>
      </c>
      <c r="Q601" s="150">
        <f t="shared" si="120"/>
        <v>4</v>
      </c>
      <c r="R601" s="148">
        <v>0</v>
      </c>
      <c r="S601" s="150">
        <f t="shared" si="121"/>
        <v>4</v>
      </c>
      <c r="T601" s="152" t="s">
        <v>48</v>
      </c>
    </row>
    <row r="602" spans="3:20" ht="20.25" customHeight="1">
      <c r="C602" s="96"/>
      <c r="D602" s="102">
        <f t="shared" si="128"/>
        <v>602</v>
      </c>
      <c r="E602" s="106" t="s">
        <v>612</v>
      </c>
      <c r="F602" s="108">
        <f t="shared" si="122"/>
        <v>601</v>
      </c>
      <c r="G602" s="105" t="s">
        <v>44</v>
      </c>
      <c r="H602" s="105"/>
      <c r="I602" s="104" t="s">
        <v>610</v>
      </c>
      <c r="J602" s="104" t="str">
        <f>J601</f>
        <v>1550 mm id</v>
      </c>
      <c r="K602" s="118">
        <v>1</v>
      </c>
      <c r="L602" s="141" t="s">
        <v>39</v>
      </c>
      <c r="M602" s="119">
        <v>1</v>
      </c>
      <c r="N602" s="104" t="s">
        <v>39</v>
      </c>
      <c r="O602" s="120">
        <v>1</v>
      </c>
      <c r="P602" s="104" t="s">
        <v>41</v>
      </c>
      <c r="Q602" s="150">
        <f t="shared" si="120"/>
        <v>1</v>
      </c>
      <c r="R602" s="148">
        <v>0</v>
      </c>
      <c r="S602" s="150">
        <f t="shared" si="121"/>
        <v>1</v>
      </c>
      <c r="T602" s="152" t="s">
        <v>48</v>
      </c>
    </row>
    <row r="603" spans="3:20" ht="20.25" customHeight="1">
      <c r="C603" s="96">
        <f t="shared" ref="C603:C604" si="129">D603</f>
        <v>603</v>
      </c>
      <c r="D603" s="102">
        <f t="shared" si="128"/>
        <v>603</v>
      </c>
      <c r="E603" s="163" t="s">
        <v>613</v>
      </c>
      <c r="F603" s="112"/>
      <c r="G603" s="105"/>
      <c r="H603" s="105"/>
      <c r="I603" s="104"/>
      <c r="J603" s="104"/>
      <c r="K603" s="118"/>
      <c r="L603" s="118"/>
      <c r="M603" s="119"/>
      <c r="N603" s="104"/>
      <c r="O603" s="120"/>
      <c r="P603" s="104"/>
      <c r="Q603" s="150"/>
      <c r="R603" s="148"/>
      <c r="S603" s="150"/>
      <c r="T603" s="152"/>
    </row>
    <row r="604" spans="3:20" ht="20.25" customHeight="1">
      <c r="C604" s="96">
        <f t="shared" si="129"/>
        <v>604</v>
      </c>
      <c r="D604" s="102">
        <f t="shared" si="128"/>
        <v>604</v>
      </c>
      <c r="E604" s="103" t="s">
        <v>614</v>
      </c>
      <c r="F604" s="108"/>
      <c r="G604" s="105"/>
      <c r="H604" s="105"/>
      <c r="I604" s="104"/>
      <c r="J604" s="104"/>
      <c r="K604" s="118"/>
      <c r="L604" s="118"/>
      <c r="M604" s="119"/>
      <c r="N604" s="104"/>
      <c r="O604" s="120"/>
      <c r="P604" s="104"/>
      <c r="Q604" s="150"/>
      <c r="R604" s="148"/>
      <c r="S604" s="150"/>
      <c r="T604" s="152"/>
    </row>
    <row r="605" spans="3:20" ht="20.25" customHeight="1">
      <c r="C605" s="96"/>
      <c r="D605" s="102">
        <f t="shared" si="128"/>
        <v>605</v>
      </c>
      <c r="E605" s="106" t="s">
        <v>615</v>
      </c>
      <c r="F605" s="108">
        <f t="shared" ref="F605:F642" si="130">D604</f>
        <v>604</v>
      </c>
      <c r="G605" s="105" t="s">
        <v>616</v>
      </c>
      <c r="H605" s="105"/>
      <c r="I605" s="104" t="s">
        <v>617</v>
      </c>
      <c r="J605" s="132" t="s">
        <v>618</v>
      </c>
      <c r="K605" s="118"/>
      <c r="L605" s="118"/>
      <c r="M605" s="119">
        <v>1</v>
      </c>
      <c r="N605" s="104"/>
      <c r="O605" s="120">
        <v>1.5</v>
      </c>
      <c r="P605" s="104" t="s">
        <v>41</v>
      </c>
      <c r="Q605" s="150">
        <f t="shared" ref="Q605:Q642" si="131">M605*O605</f>
        <v>1.5</v>
      </c>
      <c r="R605" s="148">
        <v>0</v>
      </c>
      <c r="S605" s="150">
        <f t="shared" ref="S605:S642" si="132">Q605+R605</f>
        <v>1.5</v>
      </c>
      <c r="T605" s="152" t="s">
        <v>48</v>
      </c>
    </row>
    <row r="606" spans="3:20" ht="20.25" customHeight="1">
      <c r="C606" s="96"/>
      <c r="D606" s="102">
        <f t="shared" si="128"/>
        <v>606</v>
      </c>
      <c r="E606" s="106" t="s">
        <v>619</v>
      </c>
      <c r="F606" s="108">
        <f t="shared" si="130"/>
        <v>605</v>
      </c>
      <c r="G606" s="105" t="s">
        <v>620</v>
      </c>
      <c r="H606" s="105"/>
      <c r="I606" s="104"/>
      <c r="J606" s="132" t="s">
        <v>621</v>
      </c>
      <c r="K606" s="118">
        <v>1</v>
      </c>
      <c r="L606" s="118" t="s">
        <v>81</v>
      </c>
      <c r="M606" s="119">
        <v>19</v>
      </c>
      <c r="N606" s="104" t="s">
        <v>81</v>
      </c>
      <c r="O606" s="120">
        <v>0.5</v>
      </c>
      <c r="P606" s="104" t="s">
        <v>112</v>
      </c>
      <c r="Q606" s="150">
        <f t="shared" si="131"/>
        <v>9.5</v>
      </c>
      <c r="R606" s="148">
        <v>1</v>
      </c>
      <c r="S606" s="150">
        <f t="shared" si="132"/>
        <v>10.5</v>
      </c>
      <c r="T606" s="152" t="s">
        <v>48</v>
      </c>
    </row>
    <row r="607" spans="3:20" ht="20.25" customHeight="1">
      <c r="C607" s="96">
        <f>D607</f>
        <v>607</v>
      </c>
      <c r="D607" s="102">
        <f t="shared" si="128"/>
        <v>607</v>
      </c>
      <c r="E607" s="103" t="s">
        <v>622</v>
      </c>
      <c r="F607" s="108">
        <f>D604</f>
        <v>604</v>
      </c>
      <c r="G607" s="105"/>
      <c r="H607" s="105"/>
      <c r="I607" s="104"/>
      <c r="J607" s="104"/>
      <c r="K607" s="118"/>
      <c r="L607" s="118"/>
      <c r="M607" s="119"/>
      <c r="N607" s="104"/>
      <c r="O607" s="120"/>
      <c r="P607" s="104"/>
      <c r="Q607" s="150"/>
      <c r="R607" s="148"/>
      <c r="S607" s="150"/>
      <c r="T607" s="152"/>
    </row>
    <row r="608" spans="3:20" ht="20.25" customHeight="1">
      <c r="C608" s="96"/>
      <c r="D608" s="102">
        <f t="shared" si="128"/>
        <v>608</v>
      </c>
      <c r="E608" s="106" t="s">
        <v>622</v>
      </c>
      <c r="F608" s="108">
        <f t="shared" si="130"/>
        <v>607</v>
      </c>
      <c r="G608" s="105" t="s">
        <v>623</v>
      </c>
      <c r="H608" s="105"/>
      <c r="I608" s="132" t="s">
        <v>266</v>
      </c>
      <c r="J608" s="132" t="s">
        <v>624</v>
      </c>
      <c r="K608" s="118">
        <v>654</v>
      </c>
      <c r="L608" s="118" t="s">
        <v>81</v>
      </c>
      <c r="M608" s="142">
        <f>K608</f>
        <v>654</v>
      </c>
      <c r="N608" s="104" t="s">
        <v>81</v>
      </c>
      <c r="O608" s="162">
        <f>1/60*5</f>
        <v>8.3333333333333329E-2</v>
      </c>
      <c r="P608" s="104" t="s">
        <v>87</v>
      </c>
      <c r="Q608" s="150">
        <f t="shared" si="131"/>
        <v>54.5</v>
      </c>
      <c r="R608" s="148">
        <v>1</v>
      </c>
      <c r="S608" s="150">
        <f t="shared" si="132"/>
        <v>55.5</v>
      </c>
      <c r="T608" s="152" t="s">
        <v>48</v>
      </c>
    </row>
    <row r="609" spans="3:20" ht="20.25" customHeight="1">
      <c r="C609" s="96"/>
      <c r="D609" s="102">
        <f t="shared" si="128"/>
        <v>609</v>
      </c>
      <c r="E609" s="106" t="s">
        <v>625</v>
      </c>
      <c r="F609" s="108">
        <f t="shared" si="130"/>
        <v>608</v>
      </c>
      <c r="G609" s="105" t="s">
        <v>626</v>
      </c>
      <c r="H609" s="105"/>
      <c r="I609" s="132" t="s">
        <v>266</v>
      </c>
      <c r="J609" s="132" t="s">
        <v>627</v>
      </c>
      <c r="K609" s="118">
        <v>14</v>
      </c>
      <c r="L609" s="118" t="s">
        <v>81</v>
      </c>
      <c r="M609" s="142">
        <f>K609</f>
        <v>14</v>
      </c>
      <c r="N609" s="104" t="s">
        <v>81</v>
      </c>
      <c r="O609" s="162">
        <v>0.5</v>
      </c>
      <c r="P609" s="104" t="s">
        <v>87</v>
      </c>
      <c r="Q609" s="150">
        <f t="shared" si="131"/>
        <v>7</v>
      </c>
      <c r="R609" s="148">
        <v>1</v>
      </c>
      <c r="S609" s="150">
        <f t="shared" si="132"/>
        <v>8</v>
      </c>
      <c r="T609" s="152" t="s">
        <v>48</v>
      </c>
    </row>
    <row r="610" spans="3:20" ht="20.25" customHeight="1">
      <c r="C610" s="96"/>
      <c r="D610" s="102">
        <f t="shared" si="128"/>
        <v>610</v>
      </c>
      <c r="E610" s="106" t="s">
        <v>622</v>
      </c>
      <c r="F610" s="108">
        <f t="shared" si="130"/>
        <v>609</v>
      </c>
      <c r="G610" s="105" t="s">
        <v>623</v>
      </c>
      <c r="H610" s="105"/>
      <c r="I610" s="132" t="s">
        <v>266</v>
      </c>
      <c r="J610" s="104" t="str">
        <f>J608</f>
        <v>7000 lg</v>
      </c>
      <c r="K610" s="118">
        <v>654</v>
      </c>
      <c r="L610" s="118" t="s">
        <v>81</v>
      </c>
      <c r="M610" s="142">
        <f>K610</f>
        <v>654</v>
      </c>
      <c r="N610" s="104" t="s">
        <v>81</v>
      </c>
      <c r="O610" s="162">
        <f>1/60*5</f>
        <v>8.3333333333333329E-2</v>
      </c>
      <c r="P610" s="104" t="s">
        <v>87</v>
      </c>
      <c r="Q610" s="150">
        <f t="shared" si="131"/>
        <v>54.5</v>
      </c>
      <c r="R610" s="148">
        <v>1</v>
      </c>
      <c r="S610" s="150">
        <f t="shared" si="132"/>
        <v>55.5</v>
      </c>
      <c r="T610" s="152" t="s">
        <v>48</v>
      </c>
    </row>
    <row r="611" spans="3:20" ht="20.25" customHeight="1">
      <c r="C611" s="96">
        <f>D611</f>
        <v>611</v>
      </c>
      <c r="D611" s="102">
        <f t="shared" si="128"/>
        <v>611</v>
      </c>
      <c r="E611" s="103" t="s">
        <v>628</v>
      </c>
      <c r="F611" s="108">
        <f>D607</f>
        <v>607</v>
      </c>
      <c r="G611" s="105"/>
      <c r="H611" s="105"/>
      <c r="I611" s="104"/>
      <c r="J611" s="104"/>
      <c r="K611" s="118"/>
      <c r="L611" s="118"/>
      <c r="M611" s="119"/>
      <c r="N611" s="104"/>
      <c r="O611" s="120"/>
      <c r="P611" s="104"/>
      <c r="Q611" s="150"/>
      <c r="R611" s="148"/>
      <c r="S611" s="150"/>
      <c r="T611" s="152"/>
    </row>
    <row r="612" spans="3:20" ht="20.25" customHeight="1">
      <c r="C612" s="96"/>
      <c r="D612" s="102">
        <f t="shared" si="128"/>
        <v>612</v>
      </c>
      <c r="E612" s="106" t="s">
        <v>629</v>
      </c>
      <c r="F612" s="108">
        <f t="shared" si="130"/>
        <v>611</v>
      </c>
      <c r="G612" s="105" t="s">
        <v>44</v>
      </c>
      <c r="H612" s="105"/>
      <c r="I612" s="104">
        <v>8</v>
      </c>
      <c r="J612" s="132" t="s">
        <v>630</v>
      </c>
      <c r="K612" s="118">
        <v>2</v>
      </c>
      <c r="L612" s="118" t="s">
        <v>81</v>
      </c>
      <c r="M612" s="119">
        <v>2</v>
      </c>
      <c r="N612" s="104" t="s">
        <v>81</v>
      </c>
      <c r="O612" s="162">
        <v>3</v>
      </c>
      <c r="P612" s="104" t="s">
        <v>87</v>
      </c>
      <c r="Q612" s="150">
        <f t="shared" si="131"/>
        <v>6</v>
      </c>
      <c r="R612" s="148">
        <v>1</v>
      </c>
      <c r="S612" s="150">
        <f t="shared" si="132"/>
        <v>7</v>
      </c>
      <c r="T612" s="152" t="s">
        <v>48</v>
      </c>
    </row>
    <row r="613" spans="3:20" ht="20.25" customHeight="1">
      <c r="C613" s="96"/>
      <c r="D613" s="102">
        <f t="shared" si="128"/>
        <v>613</v>
      </c>
      <c r="E613" s="106" t="s">
        <v>631</v>
      </c>
      <c r="F613" s="108">
        <f t="shared" si="130"/>
        <v>612</v>
      </c>
      <c r="G613" s="105" t="s">
        <v>115</v>
      </c>
      <c r="H613" s="105"/>
      <c r="I613" s="104">
        <v>8</v>
      </c>
      <c r="J613" s="132" t="s">
        <v>632</v>
      </c>
      <c r="K613" s="118">
        <v>1</v>
      </c>
      <c r="L613" s="141" t="s">
        <v>84</v>
      </c>
      <c r="M613" s="128" t="str">
        <f>LEFT(J613,SEARCH(" ",J613,1)-1)</f>
        <v>60</v>
      </c>
      <c r="N613" s="132" t="s">
        <v>633</v>
      </c>
      <c r="O613" s="162">
        <v>0.25</v>
      </c>
      <c r="P613" s="104" t="s">
        <v>87</v>
      </c>
      <c r="Q613" s="150">
        <f t="shared" si="131"/>
        <v>15</v>
      </c>
      <c r="R613" s="148">
        <v>1</v>
      </c>
      <c r="S613" s="150">
        <f t="shared" si="132"/>
        <v>16</v>
      </c>
      <c r="T613" s="152" t="s">
        <v>48</v>
      </c>
    </row>
    <row r="614" spans="3:20" ht="20.25" customHeight="1">
      <c r="C614" s="96"/>
      <c r="D614" s="102">
        <f t="shared" si="128"/>
        <v>614</v>
      </c>
      <c r="E614" s="109" t="s">
        <v>776</v>
      </c>
      <c r="F614" s="108">
        <f t="shared" si="130"/>
        <v>613</v>
      </c>
      <c r="G614" s="105" t="s">
        <v>61</v>
      </c>
      <c r="H614" s="105"/>
      <c r="I614" s="104">
        <v>1500</v>
      </c>
      <c r="J614" s="104" t="str">
        <f>J613</f>
        <v>60 joints</v>
      </c>
      <c r="K614" s="118">
        <v>1</v>
      </c>
      <c r="L614" s="141" t="s">
        <v>84</v>
      </c>
      <c r="M614" s="128" t="str">
        <f>LEFT(J614,SEARCH(" ",J614,1)-1)</f>
        <v>60</v>
      </c>
      <c r="N614" s="132" t="s">
        <v>633</v>
      </c>
      <c r="O614" s="162">
        <f>VLOOKUP(I614,BM!$B$3:$Y$62,9,FALSE)</f>
        <v>0.25</v>
      </c>
      <c r="P614" s="104" t="s">
        <v>87</v>
      </c>
      <c r="Q614" s="150">
        <f t="shared" si="131"/>
        <v>15</v>
      </c>
      <c r="R614" s="148">
        <v>1</v>
      </c>
      <c r="S614" s="150">
        <f t="shared" si="132"/>
        <v>16</v>
      </c>
      <c r="T614" s="152" t="s">
        <v>48</v>
      </c>
    </row>
    <row r="615" spans="3:20" ht="20.25" customHeight="1">
      <c r="C615" s="96">
        <f>D615</f>
        <v>615</v>
      </c>
      <c r="D615" s="102">
        <f t="shared" si="128"/>
        <v>615</v>
      </c>
      <c r="E615" s="103" t="s">
        <v>635</v>
      </c>
      <c r="F615" s="108">
        <f>D611</f>
        <v>611</v>
      </c>
      <c r="G615" s="105"/>
      <c r="H615" s="105"/>
      <c r="I615" s="104"/>
      <c r="J615" s="104"/>
      <c r="K615" s="118"/>
      <c r="L615" s="118"/>
      <c r="M615" s="119"/>
      <c r="N615" s="104"/>
      <c r="O615" s="120"/>
      <c r="P615" s="104"/>
      <c r="Q615" s="150"/>
      <c r="R615" s="148"/>
      <c r="S615" s="150"/>
      <c r="T615" s="152"/>
    </row>
    <row r="616" spans="3:20" ht="20.25" customHeight="1">
      <c r="C616" s="96"/>
      <c r="D616" s="102">
        <f t="shared" si="128"/>
        <v>616</v>
      </c>
      <c r="E616" s="106" t="s">
        <v>636</v>
      </c>
      <c r="F616" s="108">
        <f t="shared" si="130"/>
        <v>615</v>
      </c>
      <c r="G616" s="105" t="s">
        <v>637</v>
      </c>
      <c r="H616" s="105"/>
      <c r="I616" s="104"/>
      <c r="J616" s="104" t="s">
        <v>638</v>
      </c>
      <c r="K616" s="118">
        <v>1</v>
      </c>
      <c r="L616" s="118" t="s">
        <v>81</v>
      </c>
      <c r="M616" s="119">
        <v>1</v>
      </c>
      <c r="N616" s="104" t="s">
        <v>81</v>
      </c>
      <c r="O616" s="120">
        <v>16</v>
      </c>
      <c r="P616" s="104" t="s">
        <v>87</v>
      </c>
      <c r="Q616" s="150">
        <f t="shared" si="131"/>
        <v>16</v>
      </c>
      <c r="R616" s="148">
        <v>1</v>
      </c>
      <c r="S616" s="150">
        <f t="shared" si="132"/>
        <v>17</v>
      </c>
      <c r="T616" s="152" t="s">
        <v>48</v>
      </c>
    </row>
    <row r="617" spans="3:20" ht="20.25" customHeight="1">
      <c r="C617" s="96"/>
      <c r="D617" s="102">
        <f t="shared" si="128"/>
        <v>617</v>
      </c>
      <c r="E617" s="106" t="s">
        <v>639</v>
      </c>
      <c r="F617" s="108">
        <f t="shared" si="130"/>
        <v>616</v>
      </c>
      <c r="G617" s="105" t="s">
        <v>640</v>
      </c>
      <c r="H617" s="105"/>
      <c r="I617" s="104" t="s">
        <v>641</v>
      </c>
      <c r="J617" s="104"/>
      <c r="K617" s="118">
        <v>1</v>
      </c>
      <c r="L617" s="118" t="s">
        <v>81</v>
      </c>
      <c r="M617" s="119">
        <v>1</v>
      </c>
      <c r="N617" s="104" t="s">
        <v>81</v>
      </c>
      <c r="O617" s="120">
        <v>4</v>
      </c>
      <c r="P617" s="104" t="s">
        <v>87</v>
      </c>
      <c r="Q617" s="150">
        <f t="shared" si="131"/>
        <v>4</v>
      </c>
      <c r="R617" s="148">
        <v>1</v>
      </c>
      <c r="S617" s="150">
        <f t="shared" si="132"/>
        <v>5</v>
      </c>
      <c r="T617" s="152" t="s">
        <v>48</v>
      </c>
    </row>
    <row r="618" spans="3:20" ht="20.25" customHeight="1">
      <c r="C618" s="96"/>
      <c r="D618" s="102">
        <f t="shared" si="128"/>
        <v>618</v>
      </c>
      <c r="E618" s="106" t="s">
        <v>642</v>
      </c>
      <c r="F618" s="108">
        <f t="shared" si="130"/>
        <v>617</v>
      </c>
      <c r="G618" s="105" t="s">
        <v>643</v>
      </c>
      <c r="H618" s="105"/>
      <c r="I618" s="104" t="s">
        <v>644</v>
      </c>
      <c r="J618" s="104">
        <v>1490</v>
      </c>
      <c r="K618" s="118">
        <v>1</v>
      </c>
      <c r="L618" s="118" t="s">
        <v>81</v>
      </c>
      <c r="M618" s="119">
        <v>56</v>
      </c>
      <c r="N618" s="104" t="s">
        <v>645</v>
      </c>
      <c r="O618" s="162">
        <f>1/60*10</f>
        <v>0.16666666666666666</v>
      </c>
      <c r="P618" s="104" t="s">
        <v>112</v>
      </c>
      <c r="Q618" s="150">
        <f t="shared" si="131"/>
        <v>9.3333333333333321</v>
      </c>
      <c r="R618" s="148">
        <v>1</v>
      </c>
      <c r="S618" s="150">
        <f t="shared" si="132"/>
        <v>10.333333333333332</v>
      </c>
      <c r="T618" s="152" t="s">
        <v>48</v>
      </c>
    </row>
    <row r="619" spans="3:20" ht="20.25" customHeight="1">
      <c r="C619" s="96">
        <f>D619</f>
        <v>619</v>
      </c>
      <c r="D619" s="102">
        <f t="shared" si="128"/>
        <v>619</v>
      </c>
      <c r="E619" s="103" t="s">
        <v>646</v>
      </c>
      <c r="F619" s="108">
        <f>D615</f>
        <v>615</v>
      </c>
      <c r="G619" s="105"/>
      <c r="H619" s="105"/>
      <c r="I619" s="104"/>
      <c r="J619" s="104"/>
      <c r="K619" s="118"/>
      <c r="L619" s="118"/>
      <c r="M619" s="119"/>
      <c r="N619" s="104"/>
      <c r="O619" s="120"/>
      <c r="P619" s="104"/>
      <c r="Q619" s="150"/>
      <c r="R619" s="148"/>
      <c r="S619" s="150"/>
      <c r="T619" s="152"/>
    </row>
    <row r="620" spans="3:20" ht="20.25" customHeight="1">
      <c r="C620" s="96"/>
      <c r="D620" s="102">
        <f t="shared" si="128"/>
        <v>620</v>
      </c>
      <c r="E620" s="106" t="s">
        <v>647</v>
      </c>
      <c r="F620" s="108">
        <f t="shared" si="130"/>
        <v>619</v>
      </c>
      <c r="G620" s="105" t="s">
        <v>201</v>
      </c>
      <c r="H620" s="105"/>
      <c r="I620" s="104" t="s">
        <v>648</v>
      </c>
      <c r="J620" s="132" t="s">
        <v>649</v>
      </c>
      <c r="K620" s="118">
        <v>1308</v>
      </c>
      <c r="L620" s="118" t="s">
        <v>81</v>
      </c>
      <c r="M620" s="128" t="str">
        <f>LEFT(J620,SEARCH(" ",J620,1)-1)</f>
        <v>1308</v>
      </c>
      <c r="N620" s="104" t="s">
        <v>650</v>
      </c>
      <c r="O620" s="162">
        <f>1/60*1</f>
        <v>1.6666666666666666E-2</v>
      </c>
      <c r="P620" s="104" t="s">
        <v>112</v>
      </c>
      <c r="Q620" s="150">
        <f t="shared" si="131"/>
        <v>21.8</v>
      </c>
      <c r="R620" s="148">
        <v>1</v>
      </c>
      <c r="S620" s="150">
        <f t="shared" si="132"/>
        <v>22.8</v>
      </c>
      <c r="T620" s="152" t="s">
        <v>48</v>
      </c>
    </row>
    <row r="621" spans="3:20" ht="20.25" customHeight="1">
      <c r="C621" s="96"/>
      <c r="D621" s="102">
        <f t="shared" si="128"/>
        <v>621</v>
      </c>
      <c r="E621" s="106" t="s">
        <v>651</v>
      </c>
      <c r="F621" s="108">
        <f t="shared" si="130"/>
        <v>620</v>
      </c>
      <c r="G621" s="105" t="s">
        <v>201</v>
      </c>
      <c r="H621" s="105"/>
      <c r="I621" s="132" t="s">
        <v>652</v>
      </c>
      <c r="J621" s="132" t="s">
        <v>649</v>
      </c>
      <c r="K621" s="118">
        <v>1308</v>
      </c>
      <c r="L621" s="118" t="s">
        <v>81</v>
      </c>
      <c r="M621" s="128" t="str">
        <f>LEFT(J621,SEARCH(" ",J621,1)-1)</f>
        <v>1308</v>
      </c>
      <c r="N621" s="104" t="s">
        <v>650</v>
      </c>
      <c r="O621" s="162">
        <f>1/60*0.5</f>
        <v>8.3333333333333332E-3</v>
      </c>
      <c r="P621" s="104" t="s">
        <v>112</v>
      </c>
      <c r="Q621" s="150">
        <f t="shared" si="131"/>
        <v>10.9</v>
      </c>
      <c r="R621" s="148">
        <v>1</v>
      </c>
      <c r="S621" s="150">
        <f t="shared" si="132"/>
        <v>11.9</v>
      </c>
      <c r="T621" s="152" t="s">
        <v>48</v>
      </c>
    </row>
    <row r="622" spans="3:20" ht="20.25" customHeight="1">
      <c r="C622" s="96"/>
      <c r="D622" s="102">
        <f t="shared" si="128"/>
        <v>622</v>
      </c>
      <c r="E622" s="106" t="s">
        <v>653</v>
      </c>
      <c r="F622" s="108">
        <f t="shared" si="130"/>
        <v>621</v>
      </c>
      <c r="G622" s="105" t="s">
        <v>44</v>
      </c>
      <c r="H622" s="105"/>
      <c r="I622" s="132" t="s">
        <v>652</v>
      </c>
      <c r="J622" s="132" t="s">
        <v>649</v>
      </c>
      <c r="K622" s="118">
        <v>1308</v>
      </c>
      <c r="L622" s="118" t="s">
        <v>81</v>
      </c>
      <c r="M622" s="128" t="str">
        <f>LEFT(J622,SEARCH(" ",J622,1)-1)</f>
        <v>1308</v>
      </c>
      <c r="N622" s="104" t="s">
        <v>654</v>
      </c>
      <c r="O622" s="162">
        <f>1/60*2</f>
        <v>3.3333333333333333E-2</v>
      </c>
      <c r="P622" s="104" t="s">
        <v>112</v>
      </c>
      <c r="Q622" s="150">
        <f t="shared" si="131"/>
        <v>43.6</v>
      </c>
      <c r="R622" s="148">
        <v>1</v>
      </c>
      <c r="S622" s="150">
        <f t="shared" si="132"/>
        <v>44.6</v>
      </c>
      <c r="T622" s="152" t="s">
        <v>48</v>
      </c>
    </row>
    <row r="623" spans="3:20" ht="20.25" customHeight="1">
      <c r="C623" s="96"/>
      <c r="D623" s="102">
        <f t="shared" si="128"/>
        <v>623</v>
      </c>
      <c r="E623" s="106" t="s">
        <v>655</v>
      </c>
      <c r="F623" s="108">
        <f t="shared" si="130"/>
        <v>622</v>
      </c>
      <c r="G623" s="105" t="s">
        <v>656</v>
      </c>
      <c r="H623" s="105"/>
      <c r="I623" s="104" t="s">
        <v>657</v>
      </c>
      <c r="J623" s="132" t="s">
        <v>658</v>
      </c>
      <c r="K623" s="164">
        <v>2616</v>
      </c>
      <c r="L623" s="118" t="s">
        <v>81</v>
      </c>
      <c r="M623" s="128" t="str">
        <f>LEFT(J623,SEARCH(" ",J623,1)-1)</f>
        <v>2616</v>
      </c>
      <c r="N623" s="104" t="s">
        <v>650</v>
      </c>
      <c r="O623" s="162">
        <f>1/60*0.5</f>
        <v>8.3333333333333332E-3</v>
      </c>
      <c r="P623" s="104" t="s">
        <v>112</v>
      </c>
      <c r="Q623" s="150">
        <f t="shared" si="131"/>
        <v>21.8</v>
      </c>
      <c r="R623" s="148">
        <v>1</v>
      </c>
      <c r="S623" s="150">
        <f t="shared" si="132"/>
        <v>22.8</v>
      </c>
      <c r="T623" s="152" t="s">
        <v>48</v>
      </c>
    </row>
    <row r="624" spans="3:20" ht="20.25" customHeight="1">
      <c r="C624" s="96">
        <f>D624</f>
        <v>624</v>
      </c>
      <c r="D624" s="102">
        <f t="shared" si="128"/>
        <v>624</v>
      </c>
      <c r="E624" s="103" t="s">
        <v>659</v>
      </c>
      <c r="F624" s="108">
        <f>D619</f>
        <v>619</v>
      </c>
      <c r="G624" s="105"/>
      <c r="H624" s="105"/>
      <c r="I624" s="104"/>
      <c r="J624" s="104"/>
      <c r="K624" s="118"/>
      <c r="L624" s="118"/>
      <c r="M624" s="119"/>
      <c r="N624" s="104"/>
      <c r="O624" s="120"/>
      <c r="P624" s="104"/>
      <c r="Q624" s="150"/>
      <c r="R624" s="148"/>
      <c r="S624" s="150"/>
      <c r="T624" s="152"/>
    </row>
    <row r="625" spans="3:20" ht="20.25" customHeight="1">
      <c r="C625" s="96"/>
      <c r="D625" s="102">
        <f t="shared" si="128"/>
        <v>625</v>
      </c>
      <c r="E625" s="106" t="s">
        <v>660</v>
      </c>
      <c r="F625" s="108">
        <f t="shared" si="130"/>
        <v>624</v>
      </c>
      <c r="G625" s="105" t="s">
        <v>656</v>
      </c>
      <c r="H625" s="105"/>
      <c r="I625" s="104"/>
      <c r="J625" s="104"/>
      <c r="K625" s="118">
        <v>1</v>
      </c>
      <c r="L625" s="118" t="s">
        <v>39</v>
      </c>
      <c r="M625" s="119">
        <v>1</v>
      </c>
      <c r="N625" s="104" t="s">
        <v>661</v>
      </c>
      <c r="O625" s="120">
        <v>4</v>
      </c>
      <c r="P625" s="104" t="s">
        <v>112</v>
      </c>
      <c r="Q625" s="150">
        <f t="shared" si="131"/>
        <v>4</v>
      </c>
      <c r="R625" s="148">
        <v>1</v>
      </c>
      <c r="S625" s="150">
        <f t="shared" si="132"/>
        <v>5</v>
      </c>
      <c r="T625" s="152" t="s">
        <v>48</v>
      </c>
    </row>
    <row r="626" spans="3:20" ht="20.25" customHeight="1">
      <c r="C626" s="96"/>
      <c r="D626" s="102">
        <f t="shared" si="128"/>
        <v>626</v>
      </c>
      <c r="E626" s="106" t="s">
        <v>662</v>
      </c>
      <c r="F626" s="108">
        <f t="shared" si="130"/>
        <v>625</v>
      </c>
      <c r="G626" s="105" t="s">
        <v>44</v>
      </c>
      <c r="H626" s="105"/>
      <c r="I626" s="104"/>
      <c r="J626" s="104"/>
      <c r="K626" s="118">
        <v>1</v>
      </c>
      <c r="L626" s="118" t="s">
        <v>39</v>
      </c>
      <c r="M626" s="119">
        <v>1</v>
      </c>
      <c r="N626" s="104" t="s">
        <v>661</v>
      </c>
      <c r="O626" s="120">
        <v>1</v>
      </c>
      <c r="P626" s="104" t="s">
        <v>41</v>
      </c>
      <c r="Q626" s="150">
        <f t="shared" si="131"/>
        <v>1</v>
      </c>
      <c r="R626" s="148"/>
      <c r="S626" s="150">
        <f t="shared" si="132"/>
        <v>1</v>
      </c>
      <c r="T626" s="152" t="s">
        <v>48</v>
      </c>
    </row>
    <row r="627" spans="3:20" ht="20.25" customHeight="1">
      <c r="C627" s="96"/>
      <c r="D627" s="102">
        <f t="shared" si="128"/>
        <v>627</v>
      </c>
      <c r="E627" s="106" t="s">
        <v>663</v>
      </c>
      <c r="F627" s="108">
        <f t="shared" si="130"/>
        <v>626</v>
      </c>
      <c r="G627" s="105" t="s">
        <v>224</v>
      </c>
      <c r="H627" s="105"/>
      <c r="I627" s="104"/>
      <c r="J627" s="104"/>
      <c r="K627" s="118">
        <v>1</v>
      </c>
      <c r="L627" s="118" t="s">
        <v>39</v>
      </c>
      <c r="M627" s="119">
        <v>1</v>
      </c>
      <c r="N627" s="104" t="s">
        <v>39</v>
      </c>
      <c r="O627" s="120">
        <v>1</v>
      </c>
      <c r="P627" s="104" t="s">
        <v>162</v>
      </c>
      <c r="Q627" s="150">
        <f t="shared" si="131"/>
        <v>1</v>
      </c>
      <c r="R627" s="148"/>
      <c r="S627" s="150">
        <f t="shared" si="132"/>
        <v>1</v>
      </c>
      <c r="T627" s="152" t="s">
        <v>48</v>
      </c>
    </row>
    <row r="628" spans="3:20" ht="20.25" customHeight="1">
      <c r="C628" s="96">
        <f>D628</f>
        <v>628</v>
      </c>
      <c r="D628" s="102">
        <f t="shared" si="128"/>
        <v>628</v>
      </c>
      <c r="E628" s="103" t="s">
        <v>704</v>
      </c>
      <c r="F628" s="108">
        <f>D624</f>
        <v>624</v>
      </c>
      <c r="G628" s="105"/>
      <c r="H628" s="105"/>
      <c r="I628" s="104"/>
      <c r="J628" s="104"/>
      <c r="K628" s="118"/>
      <c r="L628" s="118"/>
      <c r="M628" s="119"/>
      <c r="N628" s="104"/>
      <c r="O628" s="120"/>
      <c r="P628" s="104"/>
      <c r="Q628" s="150"/>
      <c r="R628" s="148"/>
      <c r="S628" s="150"/>
      <c r="T628" s="152"/>
    </row>
    <row r="629" spans="3:20" ht="20.25" customHeight="1">
      <c r="C629" s="96"/>
      <c r="D629" s="102">
        <f t="shared" si="128"/>
        <v>629</v>
      </c>
      <c r="E629" s="106" t="s">
        <v>705</v>
      </c>
      <c r="F629" s="108">
        <f t="shared" si="130"/>
        <v>628</v>
      </c>
      <c r="G629" s="105" t="s">
        <v>666</v>
      </c>
      <c r="H629" s="105"/>
      <c r="I629" s="104">
        <v>2.77</v>
      </c>
      <c r="J629" s="132" t="s">
        <v>667</v>
      </c>
      <c r="K629" s="118">
        <v>1308</v>
      </c>
      <c r="L629" s="118" t="s">
        <v>81</v>
      </c>
      <c r="M629" s="142">
        <f>K629</f>
        <v>1308</v>
      </c>
      <c r="N629" s="104" t="s">
        <v>668</v>
      </c>
      <c r="O629" s="162">
        <f>1/60*5</f>
        <v>8.3333333333333329E-2</v>
      </c>
      <c r="P629" s="104" t="s">
        <v>112</v>
      </c>
      <c r="Q629" s="150">
        <f t="shared" si="131"/>
        <v>109</v>
      </c>
      <c r="R629" s="148">
        <v>1</v>
      </c>
      <c r="S629" s="150">
        <f t="shared" si="132"/>
        <v>110</v>
      </c>
      <c r="T629" s="152" t="s">
        <v>48</v>
      </c>
    </row>
    <row r="630" spans="3:20" ht="20.25" customHeight="1">
      <c r="C630" s="96"/>
      <c r="D630" s="102">
        <f t="shared" si="128"/>
        <v>630</v>
      </c>
      <c r="E630" s="106" t="s">
        <v>706</v>
      </c>
      <c r="F630" s="108">
        <f t="shared" si="130"/>
        <v>629</v>
      </c>
      <c r="G630" s="105" t="s">
        <v>44</v>
      </c>
      <c r="H630" s="105"/>
      <c r="I630" s="104">
        <v>2.77</v>
      </c>
      <c r="J630" s="104"/>
      <c r="K630" s="118">
        <v>1308</v>
      </c>
      <c r="L630" s="118" t="s">
        <v>81</v>
      </c>
      <c r="M630" s="119">
        <v>1</v>
      </c>
      <c r="N630" s="104" t="s">
        <v>39</v>
      </c>
      <c r="O630" s="120">
        <v>8</v>
      </c>
      <c r="P630" s="104" t="s">
        <v>112</v>
      </c>
      <c r="Q630" s="150">
        <f t="shared" si="131"/>
        <v>8</v>
      </c>
      <c r="R630" s="148">
        <v>1</v>
      </c>
      <c r="S630" s="150">
        <f t="shared" si="132"/>
        <v>9</v>
      </c>
      <c r="T630" s="152" t="s">
        <v>48</v>
      </c>
    </row>
    <row r="631" spans="3:20" ht="20.25" customHeight="1">
      <c r="C631" s="96"/>
      <c r="D631" s="102">
        <f t="shared" si="128"/>
        <v>631</v>
      </c>
      <c r="E631" s="106" t="s">
        <v>707</v>
      </c>
      <c r="F631" s="108">
        <f t="shared" si="130"/>
        <v>630</v>
      </c>
      <c r="G631" s="105" t="s">
        <v>666</v>
      </c>
      <c r="H631" s="105"/>
      <c r="I631" s="104">
        <v>2.77</v>
      </c>
      <c r="J631" s="104"/>
      <c r="K631" s="118">
        <v>1308</v>
      </c>
      <c r="L631" s="118" t="s">
        <v>81</v>
      </c>
      <c r="M631" s="142">
        <f>K631</f>
        <v>1308</v>
      </c>
      <c r="N631" s="104" t="s">
        <v>668</v>
      </c>
      <c r="O631" s="162">
        <f>1/60*5</f>
        <v>8.3333333333333329E-2</v>
      </c>
      <c r="P631" s="104" t="s">
        <v>112</v>
      </c>
      <c r="Q631" s="150">
        <f t="shared" si="131"/>
        <v>109</v>
      </c>
      <c r="R631" s="148">
        <v>1</v>
      </c>
      <c r="S631" s="150">
        <f t="shared" si="132"/>
        <v>110</v>
      </c>
      <c r="T631" s="152" t="s">
        <v>48</v>
      </c>
    </row>
    <row r="632" spans="3:20" ht="20.25" customHeight="1">
      <c r="C632" s="96"/>
      <c r="D632" s="102">
        <f t="shared" si="128"/>
        <v>632</v>
      </c>
      <c r="E632" s="106" t="s">
        <v>708</v>
      </c>
      <c r="F632" s="108">
        <f t="shared" si="130"/>
        <v>631</v>
      </c>
      <c r="G632" s="105" t="s">
        <v>44</v>
      </c>
      <c r="H632" s="105"/>
      <c r="I632" s="104">
        <v>2.77</v>
      </c>
      <c r="J632" s="104"/>
      <c r="K632" s="118">
        <v>1308</v>
      </c>
      <c r="L632" s="118" t="s">
        <v>81</v>
      </c>
      <c r="M632" s="119">
        <v>1</v>
      </c>
      <c r="N632" s="104" t="s">
        <v>39</v>
      </c>
      <c r="O632" s="120">
        <v>8</v>
      </c>
      <c r="P632" s="104" t="s">
        <v>112</v>
      </c>
      <c r="Q632" s="150">
        <f t="shared" si="131"/>
        <v>8</v>
      </c>
      <c r="R632" s="148">
        <v>1</v>
      </c>
      <c r="S632" s="150">
        <f t="shared" si="132"/>
        <v>9</v>
      </c>
      <c r="T632" s="152" t="s">
        <v>48</v>
      </c>
    </row>
    <row r="633" spans="3:20" ht="20.25" customHeight="1">
      <c r="C633" s="96">
        <f>D633</f>
        <v>633</v>
      </c>
      <c r="D633" s="102">
        <f t="shared" si="128"/>
        <v>633</v>
      </c>
      <c r="E633" s="103" t="s">
        <v>672</v>
      </c>
      <c r="F633" s="108">
        <f>D628</f>
        <v>628</v>
      </c>
      <c r="G633" s="105"/>
      <c r="H633" s="105"/>
      <c r="I633" s="104"/>
      <c r="J633" s="104"/>
      <c r="K633" s="118"/>
      <c r="L633" s="118"/>
      <c r="M633" s="119"/>
      <c r="N633" s="104"/>
      <c r="O633" s="120"/>
      <c r="P633" s="104"/>
      <c r="Q633" s="150"/>
      <c r="R633" s="148"/>
      <c r="S633" s="150"/>
      <c r="T633" s="152"/>
    </row>
    <row r="634" spans="3:20" ht="20.25" customHeight="1">
      <c r="C634" s="96"/>
      <c r="D634" s="102">
        <f t="shared" si="128"/>
        <v>634</v>
      </c>
      <c r="E634" s="106" t="s">
        <v>709</v>
      </c>
      <c r="F634" s="108">
        <f t="shared" si="130"/>
        <v>633</v>
      </c>
      <c r="G634" s="105" t="s">
        <v>666</v>
      </c>
      <c r="H634" s="105"/>
      <c r="I634" s="104">
        <v>2.77</v>
      </c>
      <c r="J634" s="104"/>
      <c r="K634" s="118">
        <v>1308</v>
      </c>
      <c r="L634" s="118" t="s">
        <v>81</v>
      </c>
      <c r="M634" s="142">
        <f>K634</f>
        <v>1308</v>
      </c>
      <c r="N634" s="104" t="s">
        <v>668</v>
      </c>
      <c r="O634" s="162">
        <f>1/60*5</f>
        <v>8.3333333333333329E-2</v>
      </c>
      <c r="P634" s="104" t="s">
        <v>112</v>
      </c>
      <c r="Q634" s="150">
        <f t="shared" si="131"/>
        <v>109</v>
      </c>
      <c r="R634" s="148">
        <v>1</v>
      </c>
      <c r="S634" s="150">
        <f t="shared" si="132"/>
        <v>110</v>
      </c>
      <c r="T634" s="152" t="s">
        <v>48</v>
      </c>
    </row>
    <row r="635" spans="3:20" ht="20.25" customHeight="1">
      <c r="C635" s="96"/>
      <c r="D635" s="102">
        <f t="shared" si="128"/>
        <v>635</v>
      </c>
      <c r="E635" s="106" t="s">
        <v>710</v>
      </c>
      <c r="F635" s="108">
        <f t="shared" si="130"/>
        <v>634</v>
      </c>
      <c r="G635" s="105" t="s">
        <v>44</v>
      </c>
      <c r="H635" s="105"/>
      <c r="I635" s="104">
        <v>2.77</v>
      </c>
      <c r="J635" s="104"/>
      <c r="K635" s="118">
        <v>1308</v>
      </c>
      <c r="L635" s="118" t="s">
        <v>81</v>
      </c>
      <c r="M635" s="119">
        <v>1</v>
      </c>
      <c r="N635" s="104" t="s">
        <v>39</v>
      </c>
      <c r="O635" s="120">
        <v>8</v>
      </c>
      <c r="P635" s="104" t="s">
        <v>112</v>
      </c>
      <c r="Q635" s="150">
        <f t="shared" si="131"/>
        <v>8</v>
      </c>
      <c r="R635" s="148">
        <v>1</v>
      </c>
      <c r="S635" s="150">
        <f t="shared" si="132"/>
        <v>9</v>
      </c>
      <c r="T635" s="152" t="s">
        <v>48</v>
      </c>
    </row>
    <row r="636" spans="3:20" ht="20.25" customHeight="1">
      <c r="C636" s="96"/>
      <c r="D636" s="102">
        <f t="shared" si="128"/>
        <v>636</v>
      </c>
      <c r="E636" s="106" t="s">
        <v>711</v>
      </c>
      <c r="F636" s="108">
        <f t="shared" si="130"/>
        <v>635</v>
      </c>
      <c r="G636" s="105" t="s">
        <v>666</v>
      </c>
      <c r="H636" s="105"/>
      <c r="I636" s="104">
        <v>2.77</v>
      </c>
      <c r="J636" s="104"/>
      <c r="K636" s="118">
        <v>1308</v>
      </c>
      <c r="L636" s="118" t="s">
        <v>81</v>
      </c>
      <c r="M636" s="142">
        <f>K636</f>
        <v>1308</v>
      </c>
      <c r="N636" s="104" t="s">
        <v>668</v>
      </c>
      <c r="O636" s="162">
        <f>1/60*5</f>
        <v>8.3333333333333329E-2</v>
      </c>
      <c r="P636" s="104" t="s">
        <v>112</v>
      </c>
      <c r="Q636" s="150">
        <f t="shared" si="131"/>
        <v>109</v>
      </c>
      <c r="R636" s="148">
        <v>1</v>
      </c>
      <c r="S636" s="150">
        <f t="shared" si="132"/>
        <v>110</v>
      </c>
      <c r="T636" s="152" t="s">
        <v>48</v>
      </c>
    </row>
    <row r="637" spans="3:20" ht="20.25" customHeight="1">
      <c r="C637" s="96"/>
      <c r="D637" s="102">
        <f t="shared" si="128"/>
        <v>637</v>
      </c>
      <c r="E637" s="106" t="s">
        <v>712</v>
      </c>
      <c r="F637" s="108">
        <f t="shared" si="130"/>
        <v>636</v>
      </c>
      <c r="G637" s="105" t="s">
        <v>44</v>
      </c>
      <c r="H637" s="105"/>
      <c r="I637" s="104">
        <v>2.77</v>
      </c>
      <c r="J637" s="104"/>
      <c r="K637" s="118">
        <v>1308</v>
      </c>
      <c r="L637" s="118" t="s">
        <v>81</v>
      </c>
      <c r="M637" s="119">
        <v>1</v>
      </c>
      <c r="N637" s="104" t="s">
        <v>39</v>
      </c>
      <c r="O637" s="120">
        <v>8</v>
      </c>
      <c r="P637" s="104" t="s">
        <v>112</v>
      </c>
      <c r="Q637" s="150">
        <f t="shared" si="131"/>
        <v>8</v>
      </c>
      <c r="R637" s="148">
        <v>1</v>
      </c>
      <c r="S637" s="150">
        <f t="shared" si="132"/>
        <v>9</v>
      </c>
      <c r="T637" s="152" t="s">
        <v>48</v>
      </c>
    </row>
    <row r="638" spans="3:20" ht="20.25" customHeight="1">
      <c r="C638" s="96">
        <f t="shared" ref="C638:C639" si="133">D638</f>
        <v>638</v>
      </c>
      <c r="D638" s="102">
        <f t="shared" si="128"/>
        <v>638</v>
      </c>
      <c r="E638" s="107" t="s">
        <v>777</v>
      </c>
      <c r="F638" s="108"/>
      <c r="G638" s="105"/>
      <c r="H638" s="105"/>
      <c r="I638" s="104"/>
      <c r="J638" s="104"/>
      <c r="K638" s="118"/>
      <c r="L638" s="118"/>
      <c r="M638" s="119"/>
      <c r="N638" s="104"/>
      <c r="O638" s="120"/>
      <c r="P638" s="104"/>
      <c r="Q638" s="150"/>
      <c r="R638" s="148"/>
      <c r="S638" s="150"/>
      <c r="T638" s="152"/>
    </row>
    <row r="639" spans="3:20" ht="20.25" customHeight="1">
      <c r="C639" s="96">
        <f t="shared" si="133"/>
        <v>639</v>
      </c>
      <c r="D639" s="102">
        <f t="shared" si="128"/>
        <v>639</v>
      </c>
      <c r="E639" s="106" t="s">
        <v>778</v>
      </c>
      <c r="F639" s="108"/>
      <c r="G639" s="105"/>
      <c r="H639" s="105"/>
      <c r="I639" s="104"/>
      <c r="J639" s="104"/>
      <c r="K639" s="118">
        <v>1</v>
      </c>
      <c r="L639" s="141" t="s">
        <v>39</v>
      </c>
      <c r="M639" s="119">
        <v>1</v>
      </c>
      <c r="N639" s="132" t="s">
        <v>48</v>
      </c>
      <c r="O639" s="120">
        <v>6</v>
      </c>
      <c r="P639" s="132" t="s">
        <v>48</v>
      </c>
      <c r="Q639" s="150">
        <f t="shared" si="131"/>
        <v>6</v>
      </c>
      <c r="R639" s="148"/>
      <c r="S639" s="150">
        <f t="shared" si="132"/>
        <v>6</v>
      </c>
      <c r="T639" s="152" t="s">
        <v>48</v>
      </c>
    </row>
    <row r="640" spans="3:20" ht="20.25" customHeight="1">
      <c r="C640" s="96"/>
      <c r="D640" s="102">
        <f t="shared" si="128"/>
        <v>640</v>
      </c>
      <c r="E640" s="106" t="s">
        <v>777</v>
      </c>
      <c r="F640" s="108">
        <f t="shared" si="130"/>
        <v>639</v>
      </c>
      <c r="G640" s="105" t="s">
        <v>656</v>
      </c>
      <c r="H640" s="105"/>
      <c r="I640" s="104"/>
      <c r="J640" s="104" t="s">
        <v>407</v>
      </c>
      <c r="K640" s="118">
        <v>1</v>
      </c>
      <c r="L640" s="118" t="s">
        <v>39</v>
      </c>
      <c r="M640" s="119">
        <v>1</v>
      </c>
      <c r="N640" s="104" t="s">
        <v>661</v>
      </c>
      <c r="O640" s="120">
        <v>12</v>
      </c>
      <c r="P640" s="104" t="s">
        <v>112</v>
      </c>
      <c r="Q640" s="150">
        <f t="shared" si="131"/>
        <v>12</v>
      </c>
      <c r="R640" s="148">
        <v>1</v>
      </c>
      <c r="S640" s="150">
        <f t="shared" si="132"/>
        <v>13</v>
      </c>
      <c r="T640" s="152" t="s">
        <v>48</v>
      </c>
    </row>
    <row r="641" spans="3:20" ht="20.25" customHeight="1">
      <c r="C641" s="96"/>
      <c r="D641" s="102">
        <f t="shared" si="128"/>
        <v>641</v>
      </c>
      <c r="E641" s="106" t="s">
        <v>779</v>
      </c>
      <c r="F641" s="108">
        <f t="shared" si="130"/>
        <v>640</v>
      </c>
      <c r="G641" s="105" t="s">
        <v>348</v>
      </c>
      <c r="H641" s="105"/>
      <c r="I641" s="104"/>
      <c r="J641" s="104" t="str">
        <f>J640</f>
        <v>6130 lg</v>
      </c>
      <c r="K641" s="118">
        <v>1</v>
      </c>
      <c r="L641" s="118" t="s">
        <v>39</v>
      </c>
      <c r="M641" s="119">
        <v>1</v>
      </c>
      <c r="N641" s="104" t="s">
        <v>661</v>
      </c>
      <c r="O641" s="120">
        <v>1</v>
      </c>
      <c r="P641" s="104" t="s">
        <v>41</v>
      </c>
      <c r="Q641" s="150">
        <f t="shared" si="131"/>
        <v>1</v>
      </c>
      <c r="R641" s="148">
        <v>0</v>
      </c>
      <c r="S641" s="150">
        <f t="shared" si="132"/>
        <v>1</v>
      </c>
      <c r="T641" s="152" t="s">
        <v>41</v>
      </c>
    </row>
    <row r="642" spans="3:20" ht="20.25" customHeight="1">
      <c r="C642" s="96"/>
      <c r="D642" s="102">
        <f t="shared" si="128"/>
        <v>642</v>
      </c>
      <c r="E642" s="106" t="s">
        <v>680</v>
      </c>
      <c r="F642" s="108">
        <f t="shared" si="130"/>
        <v>641</v>
      </c>
      <c r="G642" s="105" t="s">
        <v>640</v>
      </c>
      <c r="H642" s="105"/>
      <c r="I642" s="104"/>
      <c r="J642" s="104" t="str">
        <f>J641</f>
        <v>6130 lg</v>
      </c>
      <c r="K642" s="118">
        <v>1</v>
      </c>
      <c r="L642" s="118" t="s">
        <v>39</v>
      </c>
      <c r="M642" s="119">
        <v>1</v>
      </c>
      <c r="N642" s="104" t="s">
        <v>661</v>
      </c>
      <c r="O642" s="120">
        <v>8</v>
      </c>
      <c r="P642" s="104" t="s">
        <v>112</v>
      </c>
      <c r="Q642" s="150">
        <f t="shared" si="131"/>
        <v>8</v>
      </c>
      <c r="R642" s="148">
        <v>0</v>
      </c>
      <c r="S642" s="150">
        <f t="shared" si="132"/>
        <v>8</v>
      </c>
      <c r="T642" s="152" t="s">
        <v>48</v>
      </c>
    </row>
    <row r="643" spans="3:20" ht="20.25" customHeight="1">
      <c r="C643" s="96">
        <f t="shared" ref="C643:C644" si="134">D643</f>
        <v>643</v>
      </c>
      <c r="D643" s="102">
        <f t="shared" ref="D643:D644" si="135">D642+1</f>
        <v>643</v>
      </c>
      <c r="E643" s="98" t="s">
        <v>780</v>
      </c>
      <c r="F643" s="108"/>
      <c r="G643" s="105"/>
      <c r="H643" s="105"/>
      <c r="I643" s="104"/>
      <c r="J643" s="104"/>
      <c r="K643" s="118"/>
      <c r="L643" s="118"/>
      <c r="M643" s="119"/>
      <c r="N643" s="104"/>
      <c r="O643" s="120"/>
      <c r="P643" s="104"/>
      <c r="Q643" s="150"/>
      <c r="R643" s="148"/>
      <c r="S643" s="150"/>
      <c r="T643" s="149"/>
    </row>
    <row r="644" spans="3:20" ht="20.25" customHeight="1">
      <c r="C644" s="96">
        <f t="shared" si="134"/>
        <v>644</v>
      </c>
      <c r="D644" s="102">
        <f t="shared" si="135"/>
        <v>644</v>
      </c>
      <c r="E644" s="107" t="s">
        <v>35</v>
      </c>
      <c r="F644" s="108">
        <f>D628</f>
        <v>628</v>
      </c>
      <c r="G644" s="105"/>
      <c r="H644" s="105"/>
      <c r="I644" s="104"/>
      <c r="J644" s="104"/>
      <c r="K644" s="117"/>
      <c r="L644" s="118"/>
      <c r="M644" s="119"/>
      <c r="N644" s="104"/>
      <c r="O644" s="120"/>
      <c r="P644" s="104"/>
      <c r="Q644" s="147"/>
      <c r="R644" s="148"/>
      <c r="S644" s="147"/>
      <c r="T644" s="149"/>
    </row>
    <row r="645" spans="3:20" ht="20.25" customHeight="1">
      <c r="C645" s="96"/>
      <c r="D645" s="102">
        <f t="shared" ref="D645:D707" si="136">D644+1</f>
        <v>645</v>
      </c>
      <c r="E645" s="106" t="s">
        <v>735</v>
      </c>
      <c r="F645" s="104"/>
      <c r="G645" s="105" t="s">
        <v>37</v>
      </c>
      <c r="H645" s="105"/>
      <c r="I645" s="121">
        <v>24</v>
      </c>
      <c r="J645" s="121" t="s">
        <v>38</v>
      </c>
      <c r="K645" s="122">
        <v>1</v>
      </c>
      <c r="L645" s="123" t="s">
        <v>39</v>
      </c>
      <c r="M645" s="124">
        <v>1</v>
      </c>
      <c r="N645" s="121" t="s">
        <v>40</v>
      </c>
      <c r="O645" s="125">
        <v>4</v>
      </c>
      <c r="P645" s="121" t="s">
        <v>41</v>
      </c>
      <c r="Q645" s="150">
        <f>M645*O645</f>
        <v>4</v>
      </c>
      <c r="R645" s="151"/>
      <c r="S645" s="150">
        <f>Q645+R645</f>
        <v>4</v>
      </c>
      <c r="T645" s="152" t="s">
        <v>42</v>
      </c>
    </row>
    <row r="646" spans="3:20" ht="20.25" customHeight="1">
      <c r="C646" s="96"/>
      <c r="D646" s="102">
        <f t="shared" si="136"/>
        <v>646</v>
      </c>
      <c r="E646" s="109" t="s">
        <v>736</v>
      </c>
      <c r="F646" s="108">
        <f t="shared" ref="F646:F659" si="137">D645</f>
        <v>645</v>
      </c>
      <c r="G646" s="105" t="s">
        <v>44</v>
      </c>
      <c r="H646" s="105"/>
      <c r="I646" s="104">
        <v>24</v>
      </c>
      <c r="J646" s="126" t="s">
        <v>45</v>
      </c>
      <c r="K646" s="127">
        <v>1</v>
      </c>
      <c r="L646" s="118" t="s">
        <v>39</v>
      </c>
      <c r="M646" s="128">
        <f>LEFT(J646,SEARCH(" ",J646,1)-1)*K646*0.001</f>
        <v>6.7229999999999999</v>
      </c>
      <c r="N646" s="129" t="s">
        <v>46</v>
      </c>
      <c r="O646" s="130">
        <f>VLOOKUP(I646,BM!$B$3:$Y$62,2,FALSE)</f>
        <v>0.1</v>
      </c>
      <c r="P646" s="131" t="s">
        <v>47</v>
      </c>
      <c r="Q646" s="150">
        <f t="shared" ref="Q646" si="138">M646*O646</f>
        <v>0.67230000000000001</v>
      </c>
      <c r="R646" s="153">
        <v>1</v>
      </c>
      <c r="S646" s="150">
        <f t="shared" ref="S646:S659" si="139">Q646+R646</f>
        <v>1.6722999999999999</v>
      </c>
      <c r="T646" s="154" t="s">
        <v>162</v>
      </c>
    </row>
    <row r="647" spans="3:20" ht="20.25" customHeight="1">
      <c r="C647" s="96"/>
      <c r="D647" s="102">
        <f t="shared" si="136"/>
        <v>647</v>
      </c>
      <c r="E647" s="109" t="s">
        <v>737</v>
      </c>
      <c r="F647" s="108">
        <f t="shared" si="137"/>
        <v>646</v>
      </c>
      <c r="G647" s="105" t="s">
        <v>44</v>
      </c>
      <c r="H647" s="105"/>
      <c r="I647" s="104">
        <v>24</v>
      </c>
      <c r="J647" s="112"/>
      <c r="K647" s="117">
        <v>1</v>
      </c>
      <c r="L647" s="118" t="s">
        <v>50</v>
      </c>
      <c r="M647" s="128">
        <v>1</v>
      </c>
      <c r="N647" s="132" t="s">
        <v>39</v>
      </c>
      <c r="O647" s="130">
        <v>1</v>
      </c>
      <c r="P647" s="132" t="s">
        <v>41</v>
      </c>
      <c r="Q647" s="150">
        <v>1</v>
      </c>
      <c r="R647" s="148"/>
      <c r="S647" s="150">
        <f t="shared" si="139"/>
        <v>1</v>
      </c>
      <c r="T647" s="152" t="s">
        <v>42</v>
      </c>
    </row>
    <row r="648" spans="3:20" ht="20.25" customHeight="1">
      <c r="C648" s="96"/>
      <c r="D648" s="102">
        <f t="shared" si="136"/>
        <v>648</v>
      </c>
      <c r="E648" s="106" t="s">
        <v>738</v>
      </c>
      <c r="F648" s="108">
        <f t="shared" si="137"/>
        <v>647</v>
      </c>
      <c r="G648" s="105" t="s">
        <v>52</v>
      </c>
      <c r="H648" s="105"/>
      <c r="I648" s="104">
        <v>24</v>
      </c>
      <c r="J648" s="133" t="str">
        <f>J646</f>
        <v>6723 MM</v>
      </c>
      <c r="K648" s="117">
        <v>1</v>
      </c>
      <c r="L648" s="118" t="s">
        <v>50</v>
      </c>
      <c r="M648" s="128">
        <f>LEFT(J648,SEARCH(" ",J648,1)-1)*K648*0.001</f>
        <v>6.7229999999999999</v>
      </c>
      <c r="N648" s="104" t="s">
        <v>46</v>
      </c>
      <c r="O648" s="130">
        <f>VLOOKUP(I648,BM!$B$3:$Y$62,3,FALSE)</f>
        <v>0.25</v>
      </c>
      <c r="P648" s="134" t="s">
        <v>53</v>
      </c>
      <c r="Q648" s="150">
        <f t="shared" ref="Q648:Q659" si="140">M648*O648</f>
        <v>1.68075</v>
      </c>
      <c r="R648" s="153">
        <v>1</v>
      </c>
      <c r="S648" s="150">
        <f t="shared" si="139"/>
        <v>2.6807499999999997</v>
      </c>
      <c r="T648" s="154" t="s">
        <v>162</v>
      </c>
    </row>
    <row r="649" spans="3:20" ht="20.25" customHeight="1">
      <c r="C649" s="96"/>
      <c r="D649" s="102">
        <f t="shared" si="136"/>
        <v>649</v>
      </c>
      <c r="E649" s="109" t="s">
        <v>739</v>
      </c>
      <c r="F649" s="108">
        <f t="shared" si="137"/>
        <v>648</v>
      </c>
      <c r="G649" s="105" t="s">
        <v>55</v>
      </c>
      <c r="H649" s="105"/>
      <c r="I649" s="104">
        <v>24</v>
      </c>
      <c r="J649" s="126" t="s">
        <v>740</v>
      </c>
      <c r="K649" s="117">
        <v>1</v>
      </c>
      <c r="L649" s="118" t="s">
        <v>50</v>
      </c>
      <c r="M649" s="135">
        <v>1</v>
      </c>
      <c r="N649" s="104" t="s">
        <v>39</v>
      </c>
      <c r="O649" s="136">
        <v>10</v>
      </c>
      <c r="P649" s="134" t="s">
        <v>41</v>
      </c>
      <c r="Q649" s="150">
        <f t="shared" si="140"/>
        <v>10</v>
      </c>
      <c r="R649" s="155"/>
      <c r="S649" s="150">
        <f t="shared" si="139"/>
        <v>10</v>
      </c>
      <c r="T649" s="154" t="s">
        <v>42</v>
      </c>
    </row>
    <row r="650" spans="3:20" ht="20.25" customHeight="1">
      <c r="C650" s="96"/>
      <c r="D650" s="102">
        <f t="shared" si="136"/>
        <v>650</v>
      </c>
      <c r="E650" s="106" t="s">
        <v>56</v>
      </c>
      <c r="F650" s="108">
        <f t="shared" si="137"/>
        <v>649</v>
      </c>
      <c r="G650" s="105" t="s">
        <v>44</v>
      </c>
      <c r="H650" s="105"/>
      <c r="I650" s="104">
        <v>24</v>
      </c>
      <c r="J650" s="133" t="str">
        <f t="shared" ref="J650:J656" si="141">J649</f>
        <v>1664 id</v>
      </c>
      <c r="K650" s="117">
        <v>1</v>
      </c>
      <c r="L650" s="118" t="s">
        <v>50</v>
      </c>
      <c r="M650" s="119">
        <v>1</v>
      </c>
      <c r="N650" s="104" t="s">
        <v>39</v>
      </c>
      <c r="O650" s="136">
        <v>1</v>
      </c>
      <c r="P650" s="134" t="s">
        <v>41</v>
      </c>
      <c r="Q650" s="150">
        <f t="shared" si="140"/>
        <v>1</v>
      </c>
      <c r="R650" s="153"/>
      <c r="S650" s="150">
        <f t="shared" si="139"/>
        <v>1</v>
      </c>
      <c r="T650" s="154" t="s">
        <v>42</v>
      </c>
    </row>
    <row r="651" spans="3:20" ht="20.25" customHeight="1">
      <c r="C651" s="96"/>
      <c r="D651" s="102">
        <f t="shared" si="136"/>
        <v>651</v>
      </c>
      <c r="E651" s="106" t="s">
        <v>57</v>
      </c>
      <c r="F651" s="108">
        <f t="shared" si="137"/>
        <v>650</v>
      </c>
      <c r="G651" s="105" t="s">
        <v>55</v>
      </c>
      <c r="H651" s="105"/>
      <c r="I651" s="104">
        <v>24</v>
      </c>
      <c r="J651" s="108" t="str">
        <f t="shared" si="141"/>
        <v>1664 id</v>
      </c>
      <c r="K651" s="117">
        <v>1</v>
      </c>
      <c r="L651" s="118" t="s">
        <v>50</v>
      </c>
      <c r="M651" s="119">
        <v>1</v>
      </c>
      <c r="N651" s="104" t="s">
        <v>39</v>
      </c>
      <c r="O651" s="136">
        <v>1</v>
      </c>
      <c r="P651" s="134" t="s">
        <v>41</v>
      </c>
      <c r="Q651" s="150">
        <f t="shared" si="140"/>
        <v>1</v>
      </c>
      <c r="R651" s="153"/>
      <c r="S651" s="150">
        <f t="shared" si="139"/>
        <v>1</v>
      </c>
      <c r="T651" s="156"/>
    </row>
    <row r="652" spans="3:20" ht="20.25" customHeight="1">
      <c r="C652" s="96"/>
      <c r="D652" s="102">
        <f t="shared" si="136"/>
        <v>652</v>
      </c>
      <c r="E652" s="106" t="s">
        <v>58</v>
      </c>
      <c r="F652" s="108">
        <f t="shared" si="137"/>
        <v>651</v>
      </c>
      <c r="G652" s="105" t="s">
        <v>55</v>
      </c>
      <c r="H652" s="105"/>
      <c r="I652" s="104">
        <v>24</v>
      </c>
      <c r="J652" s="108" t="str">
        <f t="shared" si="141"/>
        <v>1664 id</v>
      </c>
      <c r="K652" s="117">
        <v>1</v>
      </c>
      <c r="L652" s="118" t="s">
        <v>50</v>
      </c>
      <c r="M652" s="119">
        <v>1</v>
      </c>
      <c r="N652" s="104" t="s">
        <v>39</v>
      </c>
      <c r="O652" s="136">
        <v>4</v>
      </c>
      <c r="P652" s="134" t="s">
        <v>41</v>
      </c>
      <c r="Q652" s="150">
        <f t="shared" si="140"/>
        <v>4</v>
      </c>
      <c r="R652" s="153"/>
      <c r="S652" s="150">
        <f t="shared" si="139"/>
        <v>4</v>
      </c>
      <c r="T652" s="156"/>
    </row>
    <row r="653" spans="3:20" ht="20.25" customHeight="1">
      <c r="C653" s="96"/>
      <c r="D653" s="102">
        <f t="shared" si="136"/>
        <v>653</v>
      </c>
      <c r="E653" s="106" t="s">
        <v>59</v>
      </c>
      <c r="F653" s="108">
        <f t="shared" si="137"/>
        <v>652</v>
      </c>
      <c r="G653" s="105" t="s">
        <v>44</v>
      </c>
      <c r="H653" s="105"/>
      <c r="I653" s="104">
        <v>24</v>
      </c>
      <c r="J653" s="108" t="str">
        <f t="shared" si="141"/>
        <v>1664 id</v>
      </c>
      <c r="K653" s="117">
        <v>1</v>
      </c>
      <c r="L653" s="118" t="s">
        <v>50</v>
      </c>
      <c r="M653" s="119">
        <v>1</v>
      </c>
      <c r="N653" s="104" t="s">
        <v>39</v>
      </c>
      <c r="O653" s="136">
        <v>1</v>
      </c>
      <c r="P653" s="134" t="s">
        <v>41</v>
      </c>
      <c r="Q653" s="150">
        <f t="shared" si="140"/>
        <v>1</v>
      </c>
      <c r="R653" s="153"/>
      <c r="S653" s="150">
        <f t="shared" si="139"/>
        <v>1</v>
      </c>
      <c r="T653" s="156"/>
    </row>
    <row r="654" spans="3:20" ht="20.25" customHeight="1">
      <c r="C654" s="96"/>
      <c r="D654" s="102">
        <f t="shared" si="136"/>
        <v>654</v>
      </c>
      <c r="E654" s="106" t="s">
        <v>60</v>
      </c>
      <c r="F654" s="108">
        <f t="shared" si="137"/>
        <v>653</v>
      </c>
      <c r="G654" s="105" t="s">
        <v>61</v>
      </c>
      <c r="H654" s="105"/>
      <c r="I654" s="104">
        <v>24</v>
      </c>
      <c r="J654" s="108" t="str">
        <f t="shared" si="141"/>
        <v>1664 id</v>
      </c>
      <c r="K654" s="117">
        <v>1</v>
      </c>
      <c r="L654" s="118" t="s">
        <v>50</v>
      </c>
      <c r="M654" s="119">
        <v>1</v>
      </c>
      <c r="N654" s="104" t="s">
        <v>39</v>
      </c>
      <c r="O654" s="136">
        <v>1</v>
      </c>
      <c r="P654" s="134" t="s">
        <v>41</v>
      </c>
      <c r="Q654" s="150">
        <f t="shared" si="140"/>
        <v>1</v>
      </c>
      <c r="R654" s="153">
        <v>1</v>
      </c>
      <c r="S654" s="150">
        <f t="shared" si="139"/>
        <v>2</v>
      </c>
      <c r="T654" s="156">
        <v>1</v>
      </c>
    </row>
    <row r="655" spans="3:20" ht="20.25" customHeight="1">
      <c r="C655" s="96"/>
      <c r="D655" s="102">
        <f t="shared" si="136"/>
        <v>655</v>
      </c>
      <c r="E655" s="106" t="s">
        <v>62</v>
      </c>
      <c r="F655" s="108">
        <f t="shared" si="137"/>
        <v>654</v>
      </c>
      <c r="G655" s="105" t="s">
        <v>63</v>
      </c>
      <c r="H655" s="105"/>
      <c r="I655" s="104">
        <v>24</v>
      </c>
      <c r="J655" s="108" t="str">
        <f t="shared" si="141"/>
        <v>1664 id</v>
      </c>
      <c r="K655" s="117">
        <v>1</v>
      </c>
      <c r="L655" s="118" t="s">
        <v>50</v>
      </c>
      <c r="M655" s="119">
        <v>1</v>
      </c>
      <c r="N655" s="104" t="s">
        <v>39</v>
      </c>
      <c r="O655" s="136">
        <v>1</v>
      </c>
      <c r="P655" s="134" t="s">
        <v>41</v>
      </c>
      <c r="Q655" s="150">
        <f t="shared" si="140"/>
        <v>1</v>
      </c>
      <c r="R655" s="153"/>
      <c r="S655" s="150">
        <f t="shared" si="139"/>
        <v>1</v>
      </c>
      <c r="T655" s="156"/>
    </row>
    <row r="656" spans="3:20" ht="20.25" customHeight="1">
      <c r="C656" s="96"/>
      <c r="D656" s="102">
        <f t="shared" si="136"/>
        <v>656</v>
      </c>
      <c r="E656" s="106" t="s">
        <v>64</v>
      </c>
      <c r="F656" s="108">
        <f t="shared" si="137"/>
        <v>655</v>
      </c>
      <c r="G656" s="105" t="s">
        <v>63</v>
      </c>
      <c r="H656" s="105"/>
      <c r="I656" s="104">
        <v>24</v>
      </c>
      <c r="J656" s="108" t="str">
        <f t="shared" si="141"/>
        <v>1664 id</v>
      </c>
      <c r="K656" s="117">
        <v>1</v>
      </c>
      <c r="L656" s="118" t="s">
        <v>50</v>
      </c>
      <c r="M656" s="119">
        <v>1</v>
      </c>
      <c r="N656" s="104" t="s">
        <v>39</v>
      </c>
      <c r="O656" s="136">
        <v>1</v>
      </c>
      <c r="P656" s="134" t="s">
        <v>41</v>
      </c>
      <c r="Q656" s="150">
        <f t="shared" si="140"/>
        <v>1</v>
      </c>
      <c r="R656" s="153"/>
      <c r="S656" s="150">
        <f t="shared" si="139"/>
        <v>1</v>
      </c>
      <c r="T656" s="156"/>
    </row>
    <row r="657" spans="3:20" ht="20.25" customHeight="1">
      <c r="C657" s="96"/>
      <c r="D657" s="102">
        <f t="shared" si="136"/>
        <v>657</v>
      </c>
      <c r="E657" s="106" t="s">
        <v>65</v>
      </c>
      <c r="F657" s="108">
        <f t="shared" si="137"/>
        <v>656</v>
      </c>
      <c r="G657" s="105" t="s">
        <v>44</v>
      </c>
      <c r="H657" s="110" t="s">
        <v>66</v>
      </c>
      <c r="I657" s="104">
        <v>24</v>
      </c>
      <c r="J657" s="126" t="s">
        <v>67</v>
      </c>
      <c r="K657" s="117">
        <v>1</v>
      </c>
      <c r="L657" s="118" t="s">
        <v>50</v>
      </c>
      <c r="M657" s="128">
        <f>LEFT(J657,SEARCH(" ",J657,1)-1)*K657*0.001*3.142</f>
        <v>5.3162639999999994</v>
      </c>
      <c r="N657" s="104" t="s">
        <v>68</v>
      </c>
      <c r="O657" s="130">
        <f>VLOOKUP(I657,BM!$B$3:$Y$62,2,FALSE)</f>
        <v>0.1</v>
      </c>
      <c r="P657" s="134" t="s">
        <v>53</v>
      </c>
      <c r="Q657" s="150">
        <f t="shared" si="140"/>
        <v>0.53162639999999994</v>
      </c>
      <c r="R657" s="153">
        <v>1</v>
      </c>
      <c r="S657" s="150">
        <f t="shared" si="139"/>
        <v>1.5316263999999999</v>
      </c>
      <c r="T657" s="154" t="s">
        <v>162</v>
      </c>
    </row>
    <row r="658" spans="3:20" ht="20.25" customHeight="1">
      <c r="C658" s="96"/>
      <c r="D658" s="102">
        <f t="shared" si="136"/>
        <v>658</v>
      </c>
      <c r="E658" s="106" t="s">
        <v>69</v>
      </c>
      <c r="F658" s="108">
        <f t="shared" si="137"/>
        <v>657</v>
      </c>
      <c r="G658" s="105" t="s">
        <v>52</v>
      </c>
      <c r="H658" s="105"/>
      <c r="I658" s="104">
        <v>24</v>
      </c>
      <c r="J658" s="137" t="str">
        <f>J657</f>
        <v>1692 od</v>
      </c>
      <c r="K658" s="117">
        <v>1</v>
      </c>
      <c r="L658" s="118" t="s">
        <v>50</v>
      </c>
      <c r="M658" s="128">
        <f>LEFT(J658,SEARCH(" ",J658,1)-1)*K658*0.001*3.142</f>
        <v>5.3162639999999994</v>
      </c>
      <c r="N658" s="104" t="s">
        <v>68</v>
      </c>
      <c r="O658" s="130">
        <f>VLOOKUP(I658,BM!$B$3:$Y$62,15,FALSE)</f>
        <v>1</v>
      </c>
      <c r="P658" s="134" t="s">
        <v>53</v>
      </c>
      <c r="Q658" s="150">
        <f t="shared" si="140"/>
        <v>5.3162639999999994</v>
      </c>
      <c r="R658" s="153">
        <v>1</v>
      </c>
      <c r="S658" s="150">
        <f t="shared" si="139"/>
        <v>6.3162639999999994</v>
      </c>
      <c r="T658" s="154" t="s">
        <v>162</v>
      </c>
    </row>
    <row r="659" spans="3:20" ht="20.25" customHeight="1">
      <c r="C659" s="96"/>
      <c r="D659" s="102">
        <f t="shared" si="136"/>
        <v>659</v>
      </c>
      <c r="E659" s="106" t="s">
        <v>70</v>
      </c>
      <c r="F659" s="108">
        <f t="shared" si="137"/>
        <v>658</v>
      </c>
      <c r="G659" s="105" t="s">
        <v>61</v>
      </c>
      <c r="H659" s="105"/>
      <c r="I659" s="104">
        <v>24</v>
      </c>
      <c r="J659" s="137" t="str">
        <f>J658</f>
        <v>1692 od</v>
      </c>
      <c r="K659" s="117">
        <v>1</v>
      </c>
      <c r="L659" s="118" t="s">
        <v>50</v>
      </c>
      <c r="M659" s="128">
        <f>LEFT(J659,SEARCH(" ",J659,1)-1)*K659*0.001*3.142</f>
        <v>5.3162639999999994</v>
      </c>
      <c r="N659" s="104" t="s">
        <v>68</v>
      </c>
      <c r="O659" s="130">
        <f>VLOOKUP(I659,BM!$B$3:$Y$62,6,FALSE)</f>
        <v>1</v>
      </c>
      <c r="P659" s="134" t="s">
        <v>53</v>
      </c>
      <c r="Q659" s="150">
        <f t="shared" si="140"/>
        <v>5.3162639999999994</v>
      </c>
      <c r="R659" s="153"/>
      <c r="S659" s="150">
        <f t="shared" si="139"/>
        <v>5.3162639999999994</v>
      </c>
      <c r="T659" s="154" t="s">
        <v>162</v>
      </c>
    </row>
    <row r="660" spans="3:20" ht="20.25" customHeight="1">
      <c r="C660" s="96">
        <f t="shared" ref="C660:C661" si="142">D660</f>
        <v>660</v>
      </c>
      <c r="D660" s="102">
        <f t="shared" si="136"/>
        <v>660</v>
      </c>
      <c r="E660" s="103" t="s">
        <v>71</v>
      </c>
      <c r="F660" s="104"/>
      <c r="G660" s="105"/>
      <c r="H660" s="105"/>
      <c r="I660" s="104"/>
      <c r="J660" s="104"/>
      <c r="K660" s="117"/>
      <c r="L660" s="118"/>
      <c r="M660" s="119"/>
      <c r="N660" s="104"/>
      <c r="O660" s="136"/>
      <c r="P660" s="134"/>
      <c r="Q660" s="150"/>
      <c r="R660" s="153"/>
      <c r="S660" s="150"/>
      <c r="T660" s="156"/>
    </row>
    <row r="661" spans="3:20" ht="20.25" customHeight="1">
      <c r="C661" s="96">
        <f t="shared" si="142"/>
        <v>661</v>
      </c>
      <c r="D661" s="102">
        <f t="shared" si="136"/>
        <v>661</v>
      </c>
      <c r="E661" s="103" t="s">
        <v>72</v>
      </c>
      <c r="F661" s="108">
        <f>D629</f>
        <v>629</v>
      </c>
      <c r="G661" s="105"/>
      <c r="H661" s="105"/>
      <c r="I661" s="104"/>
      <c r="J661" s="104"/>
      <c r="K661" s="117"/>
      <c r="L661" s="118"/>
      <c r="M661" s="119"/>
      <c r="N661" s="104"/>
      <c r="O661" s="136"/>
      <c r="P661" s="134"/>
      <c r="Q661" s="157"/>
      <c r="R661" s="153"/>
      <c r="S661" s="157"/>
      <c r="T661" s="156"/>
    </row>
    <row r="662" spans="3:20" ht="20.25" customHeight="1">
      <c r="C662" s="96"/>
      <c r="D662" s="102">
        <f t="shared" si="136"/>
        <v>662</v>
      </c>
      <c r="E662" s="106" t="s">
        <v>73</v>
      </c>
      <c r="F662" s="104"/>
      <c r="G662" s="105"/>
      <c r="H662" s="110" t="s">
        <v>66</v>
      </c>
      <c r="I662" s="138" t="s">
        <v>74</v>
      </c>
      <c r="J662" s="138" t="s">
        <v>90</v>
      </c>
      <c r="K662" s="117">
        <v>1</v>
      </c>
      <c r="L662" s="118" t="s">
        <v>39</v>
      </c>
      <c r="M662" s="119">
        <v>1</v>
      </c>
      <c r="N662" s="104" t="s">
        <v>50</v>
      </c>
      <c r="O662" s="136">
        <v>2</v>
      </c>
      <c r="P662" s="134" t="s">
        <v>41</v>
      </c>
      <c r="Q662" s="150">
        <f t="shared" ref="Q662:Q663" si="143">M662*O662</f>
        <v>2</v>
      </c>
      <c r="R662" s="153"/>
      <c r="S662" s="150">
        <f t="shared" ref="S662:S663" si="144">Q662+R662</f>
        <v>2</v>
      </c>
      <c r="T662" s="154" t="s">
        <v>741</v>
      </c>
    </row>
    <row r="663" spans="3:20" ht="20.25" customHeight="1">
      <c r="C663" s="96"/>
      <c r="D663" s="102">
        <f t="shared" si="136"/>
        <v>663</v>
      </c>
      <c r="E663" s="106" t="s">
        <v>75</v>
      </c>
      <c r="F663" s="108">
        <f>D662</f>
        <v>662</v>
      </c>
      <c r="G663" s="105" t="s">
        <v>55</v>
      </c>
      <c r="H663" s="105"/>
      <c r="I663" s="137" t="str">
        <f>I662</f>
        <v>145 t</v>
      </c>
      <c r="J663" s="138" t="s">
        <v>92</v>
      </c>
      <c r="K663" s="117">
        <v>1</v>
      </c>
      <c r="L663" s="118" t="s">
        <v>39</v>
      </c>
      <c r="M663" s="119">
        <v>1</v>
      </c>
      <c r="N663" s="104" t="s">
        <v>50</v>
      </c>
      <c r="O663" s="136">
        <v>5</v>
      </c>
      <c r="P663" s="134" t="s">
        <v>41</v>
      </c>
      <c r="Q663" s="150">
        <f t="shared" si="143"/>
        <v>5</v>
      </c>
      <c r="R663" s="153"/>
      <c r="S663" s="150">
        <f t="shared" si="144"/>
        <v>5</v>
      </c>
      <c r="T663" s="154" t="s">
        <v>741</v>
      </c>
    </row>
    <row r="664" spans="3:20" ht="20.25" customHeight="1">
      <c r="C664" s="96">
        <f>D664</f>
        <v>664</v>
      </c>
      <c r="D664" s="102">
        <f t="shared" si="136"/>
        <v>664</v>
      </c>
      <c r="E664" s="103" t="s">
        <v>76</v>
      </c>
      <c r="F664" s="108">
        <f>D661</f>
        <v>661</v>
      </c>
      <c r="G664" s="105"/>
      <c r="H664" s="105"/>
      <c r="I664" s="104"/>
      <c r="J664" s="104"/>
      <c r="K664" s="117"/>
      <c r="L664" s="118"/>
      <c r="M664" s="119"/>
      <c r="N664" s="104"/>
      <c r="O664" s="136"/>
      <c r="P664" s="134"/>
      <c r="Q664" s="150"/>
      <c r="R664" s="153"/>
      <c r="S664" s="150"/>
      <c r="T664" s="156"/>
    </row>
    <row r="665" spans="3:20" ht="20.25" customHeight="1">
      <c r="C665" s="96"/>
      <c r="D665" s="102">
        <f t="shared" si="136"/>
        <v>665</v>
      </c>
      <c r="E665" s="106" t="s">
        <v>77</v>
      </c>
      <c r="F665" s="108">
        <f t="shared" ref="F665:F670" si="145">D664</f>
        <v>664</v>
      </c>
      <c r="G665" s="105" t="s">
        <v>55</v>
      </c>
      <c r="H665" s="105"/>
      <c r="I665" s="139" t="str">
        <f>I662</f>
        <v>145 t</v>
      </c>
      <c r="J665" s="138" t="s">
        <v>78</v>
      </c>
      <c r="K665" s="117">
        <v>1</v>
      </c>
      <c r="L665" s="118" t="s">
        <v>39</v>
      </c>
      <c r="M665" s="128">
        <f>LEFT(J665,SEARCH(" ",J665,1)-1)*LEFT(I665,SEARCH(" ",I665,1)-1)*K665/1000</f>
        <v>189.66</v>
      </c>
      <c r="N665" s="104" t="s">
        <v>79</v>
      </c>
      <c r="O665" s="130">
        <f>1/1.5^1</f>
        <v>0.66666666666666663</v>
      </c>
      <c r="P665" s="134" t="s">
        <v>47</v>
      </c>
      <c r="Q665" s="150">
        <f>M665*O665/24</f>
        <v>5.2683333333333335</v>
      </c>
      <c r="R665" s="153"/>
      <c r="S665" s="150">
        <f t="shared" ref="S665:S669" si="146">Q665+R665</f>
        <v>5.2683333333333335</v>
      </c>
      <c r="T665" s="154" t="s">
        <v>41</v>
      </c>
    </row>
    <row r="666" spans="3:20" ht="20.25" customHeight="1">
      <c r="C666" s="96"/>
      <c r="D666" s="102">
        <f t="shared" si="136"/>
        <v>666</v>
      </c>
      <c r="E666" s="106" t="s">
        <v>80</v>
      </c>
      <c r="F666" s="108">
        <f t="shared" si="145"/>
        <v>665</v>
      </c>
      <c r="G666" s="105" t="s">
        <v>55</v>
      </c>
      <c r="H666" s="105"/>
      <c r="I666" s="140" t="str">
        <f>I662</f>
        <v>145 t</v>
      </c>
      <c r="J666" s="140" t="str">
        <f>J665</f>
        <v>1308 holes</v>
      </c>
      <c r="K666" s="117">
        <v>1</v>
      </c>
      <c r="L666" s="118" t="s">
        <v>40</v>
      </c>
      <c r="M666" s="128" t="str">
        <f>LEFT(J666,SEARCH(" ",J666,1)-1)</f>
        <v>1308</v>
      </c>
      <c r="N666" s="132" t="s">
        <v>81</v>
      </c>
      <c r="O666" s="130">
        <f>1/60*5</f>
        <v>8.3333333333333329E-2</v>
      </c>
      <c r="P666" s="134" t="s">
        <v>47</v>
      </c>
      <c r="Q666" s="150">
        <f>M666*O666/24</f>
        <v>4.541666666666667</v>
      </c>
      <c r="R666" s="153"/>
      <c r="S666" s="150">
        <f t="shared" si="146"/>
        <v>4.541666666666667</v>
      </c>
      <c r="T666" s="154" t="s">
        <v>41</v>
      </c>
    </row>
    <row r="667" spans="3:20" ht="20.25" customHeight="1">
      <c r="C667" s="96"/>
      <c r="D667" s="102">
        <f t="shared" si="136"/>
        <v>667</v>
      </c>
      <c r="E667" s="106" t="s">
        <v>82</v>
      </c>
      <c r="F667" s="108">
        <f t="shared" si="145"/>
        <v>666</v>
      </c>
      <c r="G667" s="105" t="s">
        <v>55</v>
      </c>
      <c r="H667" s="105"/>
      <c r="I667" s="140" t="str">
        <f>I662</f>
        <v>145 t</v>
      </c>
      <c r="J667" s="104"/>
      <c r="K667" s="117">
        <v>1</v>
      </c>
      <c r="L667" s="141" t="s">
        <v>83</v>
      </c>
      <c r="M667" s="142">
        <v>1</v>
      </c>
      <c r="N667" s="132" t="s">
        <v>84</v>
      </c>
      <c r="O667" s="130">
        <v>1</v>
      </c>
      <c r="P667" s="131" t="s">
        <v>41</v>
      </c>
      <c r="Q667" s="150">
        <f>M667*O667</f>
        <v>1</v>
      </c>
      <c r="R667" s="153"/>
      <c r="S667" s="150">
        <f t="shared" si="146"/>
        <v>1</v>
      </c>
      <c r="T667" s="154" t="s">
        <v>41</v>
      </c>
    </row>
    <row r="668" spans="3:20" ht="20.25" customHeight="1">
      <c r="C668" s="96"/>
      <c r="D668" s="102">
        <f t="shared" si="136"/>
        <v>668</v>
      </c>
      <c r="E668" s="106" t="s">
        <v>85</v>
      </c>
      <c r="F668" s="108">
        <f t="shared" si="145"/>
        <v>667</v>
      </c>
      <c r="G668" s="105" t="s">
        <v>55</v>
      </c>
      <c r="H668" s="105"/>
      <c r="I668" s="140" t="str">
        <f>I662</f>
        <v>145 t</v>
      </c>
      <c r="J668" s="104"/>
      <c r="K668" s="117">
        <v>1</v>
      </c>
      <c r="L668" s="141" t="s">
        <v>83</v>
      </c>
      <c r="M668" s="119">
        <v>1</v>
      </c>
      <c r="N668" s="132" t="s">
        <v>84</v>
      </c>
      <c r="O668" s="136">
        <v>4</v>
      </c>
      <c r="P668" s="134" t="s">
        <v>41</v>
      </c>
      <c r="Q668" s="150">
        <f t="shared" ref="Q668:Q669" si="147">M668*O668</f>
        <v>4</v>
      </c>
      <c r="R668" s="153"/>
      <c r="S668" s="150">
        <f t="shared" si="146"/>
        <v>4</v>
      </c>
      <c r="T668" s="154" t="s">
        <v>41</v>
      </c>
    </row>
    <row r="669" spans="3:20" ht="20.25" customHeight="1">
      <c r="C669" s="96"/>
      <c r="D669" s="102">
        <f t="shared" si="136"/>
        <v>669</v>
      </c>
      <c r="E669" s="106" t="s">
        <v>86</v>
      </c>
      <c r="F669" s="108">
        <f t="shared" si="145"/>
        <v>668</v>
      </c>
      <c r="G669" s="105" t="s">
        <v>44</v>
      </c>
      <c r="H669" s="105"/>
      <c r="I669" s="140" t="str">
        <f>I662</f>
        <v>145 t</v>
      </c>
      <c r="J669" s="140" t="str">
        <f>J665</f>
        <v>1308 holes</v>
      </c>
      <c r="K669" s="117">
        <v>1</v>
      </c>
      <c r="L669" s="118" t="s">
        <v>40</v>
      </c>
      <c r="M669" s="128" t="str">
        <f>LEFT(J669,SEARCH(" ",J669,1)-1)</f>
        <v>1308</v>
      </c>
      <c r="N669" s="104" t="s">
        <v>40</v>
      </c>
      <c r="O669" s="130">
        <f>1/60*3</f>
        <v>0.05</v>
      </c>
      <c r="P669" s="134" t="s">
        <v>87</v>
      </c>
      <c r="Q669" s="150">
        <f t="shared" si="147"/>
        <v>65.400000000000006</v>
      </c>
      <c r="R669" s="153"/>
      <c r="S669" s="150">
        <f t="shared" si="146"/>
        <v>65.400000000000006</v>
      </c>
      <c r="T669" s="154" t="s">
        <v>48</v>
      </c>
    </row>
    <row r="670" spans="3:20" ht="20.25" customHeight="1">
      <c r="C670" s="96"/>
      <c r="D670" s="102">
        <f t="shared" si="136"/>
        <v>670</v>
      </c>
      <c r="E670" s="106" t="s">
        <v>88</v>
      </c>
      <c r="F670" s="108">
        <f t="shared" si="145"/>
        <v>669</v>
      </c>
      <c r="G670" s="105" t="s">
        <v>44</v>
      </c>
      <c r="H670" s="105"/>
      <c r="I670" s="104"/>
      <c r="J670" s="104"/>
      <c r="K670" s="117"/>
      <c r="L670" s="118"/>
      <c r="M670" s="119"/>
      <c r="N670" s="104"/>
      <c r="O670" s="136"/>
      <c r="P670" s="134"/>
      <c r="Q670" s="150"/>
      <c r="R670" s="153"/>
      <c r="S670" s="150"/>
      <c r="T670" s="156"/>
    </row>
    <row r="671" spans="3:20" ht="20.25" customHeight="1">
      <c r="C671" s="96">
        <f>D671</f>
        <v>671</v>
      </c>
      <c r="D671" s="102">
        <f t="shared" si="136"/>
        <v>671</v>
      </c>
      <c r="E671" s="103" t="s">
        <v>89</v>
      </c>
      <c r="F671" s="108">
        <f>D629</f>
        <v>629</v>
      </c>
      <c r="G671" s="105"/>
      <c r="H671" s="105"/>
      <c r="I671" s="104"/>
      <c r="J671" s="104"/>
      <c r="K671" s="117"/>
      <c r="L671" s="118"/>
      <c r="M671" s="119"/>
      <c r="N671" s="104"/>
      <c r="O671" s="136"/>
      <c r="P671" s="134"/>
      <c r="Q671" s="150"/>
      <c r="R671" s="153"/>
      <c r="S671" s="150"/>
      <c r="T671" s="156"/>
    </row>
    <row r="672" spans="3:20" ht="20.25" customHeight="1">
      <c r="C672" s="96"/>
      <c r="D672" s="102">
        <f t="shared" si="136"/>
        <v>672</v>
      </c>
      <c r="E672" s="106" t="s">
        <v>73</v>
      </c>
      <c r="F672" s="108">
        <f>D671</f>
        <v>671</v>
      </c>
      <c r="G672" s="105"/>
      <c r="H672" s="105"/>
      <c r="I672" s="138" t="s">
        <v>74</v>
      </c>
      <c r="J672" s="138" t="s">
        <v>90</v>
      </c>
      <c r="K672" s="117">
        <v>1</v>
      </c>
      <c r="L672" s="118" t="s">
        <v>39</v>
      </c>
      <c r="M672" s="119">
        <v>1</v>
      </c>
      <c r="N672" s="104" t="s">
        <v>50</v>
      </c>
      <c r="O672" s="136">
        <v>2</v>
      </c>
      <c r="P672" s="134" t="s">
        <v>41</v>
      </c>
      <c r="Q672" s="150">
        <f t="shared" ref="Q672:Q673" si="148">M672*O672</f>
        <v>2</v>
      </c>
      <c r="R672" s="153"/>
      <c r="S672" s="150">
        <f t="shared" ref="S672:S673" si="149">Q672+R672</f>
        <v>2</v>
      </c>
      <c r="T672" s="154" t="s">
        <v>741</v>
      </c>
    </row>
    <row r="673" spans="2:20" ht="20.25" customHeight="1">
      <c r="C673" s="96"/>
      <c r="D673" s="102">
        <f t="shared" si="136"/>
        <v>673</v>
      </c>
      <c r="E673" s="106" t="s">
        <v>91</v>
      </c>
      <c r="F673" s="108">
        <f>D672</f>
        <v>672</v>
      </c>
      <c r="G673" s="105" t="s">
        <v>55</v>
      </c>
      <c r="H673" s="105"/>
      <c r="I673" s="137" t="str">
        <f>I672</f>
        <v>145 t</v>
      </c>
      <c r="J673" s="138" t="s">
        <v>92</v>
      </c>
      <c r="K673" s="117">
        <v>1</v>
      </c>
      <c r="L673" s="118" t="s">
        <v>39</v>
      </c>
      <c r="M673" s="119">
        <v>1</v>
      </c>
      <c r="N673" s="104" t="s">
        <v>50</v>
      </c>
      <c r="O673" s="136">
        <v>5</v>
      </c>
      <c r="P673" s="134" t="s">
        <v>41</v>
      </c>
      <c r="Q673" s="150">
        <f t="shared" si="148"/>
        <v>5</v>
      </c>
      <c r="R673" s="153"/>
      <c r="S673" s="150">
        <f t="shared" si="149"/>
        <v>5</v>
      </c>
      <c r="T673" s="154" t="s">
        <v>741</v>
      </c>
    </row>
    <row r="674" spans="2:20" ht="20.25" customHeight="1">
      <c r="B674" s="111"/>
      <c r="C674" s="96">
        <f>D674</f>
        <v>674</v>
      </c>
      <c r="D674" s="102">
        <f t="shared" si="136"/>
        <v>674</v>
      </c>
      <c r="E674" s="103" t="s">
        <v>93</v>
      </c>
      <c r="F674" s="108"/>
      <c r="G674" s="105"/>
      <c r="H674" s="105"/>
      <c r="I674" s="104"/>
      <c r="J674" s="104"/>
      <c r="K674" s="117"/>
      <c r="L674" s="118"/>
      <c r="M674" s="119"/>
      <c r="N674" s="104"/>
      <c r="O674" s="136"/>
      <c r="P674" s="134"/>
      <c r="Q674" s="150"/>
      <c r="R674" s="153"/>
      <c r="S674" s="150"/>
      <c r="T674" s="156"/>
    </row>
    <row r="675" spans="2:20" ht="20.25" customHeight="1">
      <c r="C675" s="96"/>
      <c r="D675" s="102">
        <f t="shared" si="136"/>
        <v>675</v>
      </c>
      <c r="E675" s="106" t="s">
        <v>94</v>
      </c>
      <c r="F675" s="112">
        <f>D665</f>
        <v>665</v>
      </c>
      <c r="G675" s="105" t="s">
        <v>55</v>
      </c>
      <c r="H675" s="105"/>
      <c r="I675" s="139" t="str">
        <f>I672</f>
        <v>145 t</v>
      </c>
      <c r="J675" s="138" t="s">
        <v>78</v>
      </c>
      <c r="K675" s="117">
        <v>1</v>
      </c>
      <c r="L675" s="118" t="s">
        <v>39</v>
      </c>
      <c r="M675" s="128">
        <f>LEFT(J675,SEARCH(" ",J675,1)-1)*LEFT(I675,SEARCH(" ",I675,1)-1)*K675/1000</f>
        <v>189.66</v>
      </c>
      <c r="N675" s="104" t="s">
        <v>79</v>
      </c>
      <c r="O675" s="130">
        <f>1/1.5^1</f>
        <v>0.66666666666666663</v>
      </c>
      <c r="P675" s="134" t="s">
        <v>47</v>
      </c>
      <c r="Q675" s="150">
        <f>M675*O675/24</f>
        <v>5.2683333333333335</v>
      </c>
      <c r="R675" s="153"/>
      <c r="S675" s="150">
        <f t="shared" ref="S675:S680" si="150">Q675+R675</f>
        <v>5.2683333333333335</v>
      </c>
      <c r="T675" s="154" t="s">
        <v>41</v>
      </c>
    </row>
    <row r="676" spans="2:20" ht="20.25" customHeight="1">
      <c r="C676" s="96"/>
      <c r="D676" s="102">
        <f t="shared" si="136"/>
        <v>676</v>
      </c>
      <c r="E676" s="106" t="s">
        <v>95</v>
      </c>
      <c r="F676" s="108">
        <f>D675</f>
        <v>675</v>
      </c>
      <c r="G676" s="105" t="s">
        <v>55</v>
      </c>
      <c r="H676" s="105"/>
      <c r="I676" s="140" t="str">
        <f>I672</f>
        <v>145 t</v>
      </c>
      <c r="J676" s="140" t="str">
        <f>J675</f>
        <v>1308 holes</v>
      </c>
      <c r="K676" s="117">
        <v>1</v>
      </c>
      <c r="L676" s="118" t="s">
        <v>40</v>
      </c>
      <c r="M676" s="128" t="str">
        <f>LEFT(J676,SEARCH(" ",J676,1)-1)</f>
        <v>1308</v>
      </c>
      <c r="N676" s="132" t="s">
        <v>81</v>
      </c>
      <c r="O676" s="130">
        <f>1/60*5</f>
        <v>8.3333333333333329E-2</v>
      </c>
      <c r="P676" s="134" t="s">
        <v>47</v>
      </c>
      <c r="Q676" s="150">
        <f>M676*O676/24</f>
        <v>4.541666666666667</v>
      </c>
      <c r="R676" s="153"/>
      <c r="S676" s="150">
        <f t="shared" si="150"/>
        <v>4.541666666666667</v>
      </c>
      <c r="T676" s="154" t="s">
        <v>41</v>
      </c>
    </row>
    <row r="677" spans="2:20" ht="20.25" customHeight="1">
      <c r="C677" s="96"/>
      <c r="D677" s="102">
        <f t="shared" si="136"/>
        <v>677</v>
      </c>
      <c r="E677" s="106" t="s">
        <v>96</v>
      </c>
      <c r="F677" s="108">
        <f>D676</f>
        <v>676</v>
      </c>
      <c r="G677" s="105" t="s">
        <v>55</v>
      </c>
      <c r="H677" s="105"/>
      <c r="I677" s="140" t="str">
        <f>I672</f>
        <v>145 t</v>
      </c>
      <c r="J677" s="104"/>
      <c r="K677" s="117">
        <v>1</v>
      </c>
      <c r="L677" s="141" t="s">
        <v>83</v>
      </c>
      <c r="M677" s="142">
        <v>1</v>
      </c>
      <c r="N677" s="132" t="s">
        <v>84</v>
      </c>
      <c r="O677" s="130">
        <v>1</v>
      </c>
      <c r="P677" s="131" t="s">
        <v>41</v>
      </c>
      <c r="Q677" s="150">
        <f>M677*O677</f>
        <v>1</v>
      </c>
      <c r="R677" s="153"/>
      <c r="S677" s="150">
        <f t="shared" si="150"/>
        <v>1</v>
      </c>
      <c r="T677" s="154" t="s">
        <v>41</v>
      </c>
    </row>
    <row r="678" spans="2:20" ht="20.25" customHeight="1">
      <c r="C678" s="96"/>
      <c r="D678" s="102">
        <f t="shared" si="136"/>
        <v>678</v>
      </c>
      <c r="E678" s="106" t="s">
        <v>97</v>
      </c>
      <c r="F678" s="108">
        <f>D677</f>
        <v>677</v>
      </c>
      <c r="G678" s="105" t="s">
        <v>55</v>
      </c>
      <c r="H678" s="105"/>
      <c r="I678" s="140" t="str">
        <f>I672</f>
        <v>145 t</v>
      </c>
      <c r="J678" s="104"/>
      <c r="K678" s="117">
        <v>1</v>
      </c>
      <c r="L678" s="141" t="s">
        <v>83</v>
      </c>
      <c r="M678" s="119">
        <v>1</v>
      </c>
      <c r="N678" s="132" t="s">
        <v>84</v>
      </c>
      <c r="O678" s="136">
        <v>4</v>
      </c>
      <c r="P678" s="134" t="s">
        <v>41</v>
      </c>
      <c r="Q678" s="150">
        <f t="shared" ref="Q678:Q680" si="151">M678*O678</f>
        <v>4</v>
      </c>
      <c r="R678" s="153"/>
      <c r="S678" s="150">
        <f t="shared" si="150"/>
        <v>4</v>
      </c>
      <c r="T678" s="154" t="s">
        <v>41</v>
      </c>
    </row>
    <row r="679" spans="2:20" ht="20.25" customHeight="1">
      <c r="C679" s="96"/>
      <c r="D679" s="102">
        <f t="shared" si="136"/>
        <v>679</v>
      </c>
      <c r="E679" s="106" t="s">
        <v>98</v>
      </c>
      <c r="F679" s="108">
        <f>D678</f>
        <v>678</v>
      </c>
      <c r="G679" s="105" t="s">
        <v>44</v>
      </c>
      <c r="H679" s="105"/>
      <c r="I679" s="140" t="str">
        <f>I672</f>
        <v>145 t</v>
      </c>
      <c r="J679" s="140" t="str">
        <f>J675</f>
        <v>1308 holes</v>
      </c>
      <c r="K679" s="117">
        <v>1</v>
      </c>
      <c r="L679" s="118" t="s">
        <v>40</v>
      </c>
      <c r="M679" s="128" t="str">
        <f>LEFT(J679,SEARCH(" ",J679,1)-1)</f>
        <v>1308</v>
      </c>
      <c r="N679" s="104" t="s">
        <v>40</v>
      </c>
      <c r="O679" s="130">
        <f>1/60*3</f>
        <v>0.05</v>
      </c>
      <c r="P679" s="134" t="s">
        <v>87</v>
      </c>
      <c r="Q679" s="150">
        <f t="shared" si="151"/>
        <v>65.400000000000006</v>
      </c>
      <c r="R679" s="153"/>
      <c r="S679" s="150">
        <f t="shared" si="150"/>
        <v>65.400000000000006</v>
      </c>
      <c r="T679" s="154" t="s">
        <v>48</v>
      </c>
    </row>
    <row r="680" spans="2:20" ht="20.25" customHeight="1">
      <c r="C680" s="96"/>
      <c r="D680" s="102">
        <f t="shared" si="136"/>
        <v>680</v>
      </c>
      <c r="E680" s="106" t="s">
        <v>99</v>
      </c>
      <c r="F680" s="108">
        <f>D679</f>
        <v>679</v>
      </c>
      <c r="G680" s="105" t="s">
        <v>44</v>
      </c>
      <c r="H680" s="105"/>
      <c r="I680" s="104"/>
      <c r="J680" s="104"/>
      <c r="K680" s="117">
        <v>1</v>
      </c>
      <c r="L680" s="118"/>
      <c r="M680" s="128">
        <v>1050</v>
      </c>
      <c r="N680" s="104" t="s">
        <v>40</v>
      </c>
      <c r="O680" s="130">
        <f>1/60*3</f>
        <v>0.05</v>
      </c>
      <c r="P680" s="134" t="s">
        <v>53</v>
      </c>
      <c r="Q680" s="150">
        <f t="shared" si="151"/>
        <v>52.5</v>
      </c>
      <c r="R680" s="153">
        <v>1</v>
      </c>
      <c r="S680" s="150">
        <f t="shared" si="150"/>
        <v>53.5</v>
      </c>
      <c r="T680" s="156">
        <v>1</v>
      </c>
    </row>
    <row r="681" spans="2:20" ht="20.25" customHeight="1">
      <c r="B681" s="111"/>
      <c r="C681" s="96">
        <f t="shared" ref="C681:C682" si="152">D681</f>
        <v>681</v>
      </c>
      <c r="D681" s="102">
        <f t="shared" si="136"/>
        <v>681</v>
      </c>
      <c r="E681" s="103" t="s">
        <v>742</v>
      </c>
      <c r="F681" s="108">
        <f>D638</f>
        <v>638</v>
      </c>
      <c r="G681" s="104"/>
      <c r="H681" s="104"/>
      <c r="I681" s="104"/>
      <c r="J681" s="104"/>
      <c r="K681" s="118"/>
      <c r="L681" s="118"/>
      <c r="M681" s="119"/>
      <c r="N681" s="104"/>
      <c r="O681" s="120"/>
      <c r="P681" s="104"/>
      <c r="Q681" s="150"/>
      <c r="R681" s="148"/>
      <c r="S681" s="150"/>
      <c r="T681" s="149"/>
    </row>
    <row r="682" spans="2:20" ht="20.25" customHeight="1">
      <c r="B682" s="111"/>
      <c r="C682" s="96">
        <f t="shared" si="152"/>
        <v>682</v>
      </c>
      <c r="D682" s="102">
        <f t="shared" si="136"/>
        <v>682</v>
      </c>
      <c r="E682" s="113" t="s">
        <v>101</v>
      </c>
      <c r="F682" s="108">
        <f>D622</f>
        <v>622</v>
      </c>
      <c r="G682" s="105"/>
      <c r="H682" s="105"/>
      <c r="I682" s="104"/>
      <c r="J682" s="104"/>
      <c r="K682" s="118"/>
      <c r="L682" s="118"/>
      <c r="M682" s="119"/>
      <c r="N682" s="104"/>
      <c r="O682" s="120"/>
      <c r="P682" s="104"/>
      <c r="Q682" s="150"/>
      <c r="R682" s="148"/>
      <c r="S682" s="150"/>
      <c r="T682" s="149"/>
    </row>
    <row r="683" spans="2:20" ht="20.25" customHeight="1">
      <c r="C683" s="96"/>
      <c r="D683" s="102">
        <f t="shared" si="136"/>
        <v>683</v>
      </c>
      <c r="E683" s="158" t="s">
        <v>102</v>
      </c>
      <c r="F683" s="108">
        <f>D682</f>
        <v>682</v>
      </c>
      <c r="G683" s="105" t="s">
        <v>44</v>
      </c>
      <c r="H683" s="105"/>
      <c r="I683" s="138" t="s">
        <v>103</v>
      </c>
      <c r="J683" s="104"/>
      <c r="K683" s="160">
        <v>2</v>
      </c>
      <c r="L683" s="118" t="s">
        <v>81</v>
      </c>
      <c r="M683" s="161">
        <f>K683</f>
        <v>2</v>
      </c>
      <c r="N683" s="104" t="s">
        <v>81</v>
      </c>
      <c r="O683" s="120">
        <v>1</v>
      </c>
      <c r="P683" s="104"/>
      <c r="Q683" s="150">
        <f t="shared" ref="Q683:Q685" si="153">M683*O683</f>
        <v>2</v>
      </c>
      <c r="R683" s="148">
        <v>1</v>
      </c>
      <c r="S683" s="150">
        <f t="shared" ref="S683:S685" si="154">Q683+R683</f>
        <v>3</v>
      </c>
      <c r="T683" s="154" t="s">
        <v>48</v>
      </c>
    </row>
    <row r="684" spans="2:20" ht="20.25" customHeight="1">
      <c r="C684" s="96"/>
      <c r="D684" s="102">
        <f t="shared" si="136"/>
        <v>684</v>
      </c>
      <c r="E684" s="158" t="s">
        <v>104</v>
      </c>
      <c r="F684" s="108">
        <f>D683</f>
        <v>683</v>
      </c>
      <c r="G684" s="105" t="s">
        <v>44</v>
      </c>
      <c r="H684" s="105"/>
      <c r="I684" s="138" t="s">
        <v>105</v>
      </c>
      <c r="J684" s="104"/>
      <c r="K684" s="160">
        <v>2</v>
      </c>
      <c r="L684" s="118" t="s">
        <v>81</v>
      </c>
      <c r="M684" s="161">
        <f>K684</f>
        <v>2</v>
      </c>
      <c r="N684" s="104" t="s">
        <v>81</v>
      </c>
      <c r="O684" s="120">
        <v>1</v>
      </c>
      <c r="P684" s="104"/>
      <c r="Q684" s="150">
        <f t="shared" si="153"/>
        <v>2</v>
      </c>
      <c r="R684" s="148">
        <v>1</v>
      </c>
      <c r="S684" s="150">
        <f t="shared" si="154"/>
        <v>3</v>
      </c>
      <c r="T684" s="154" t="s">
        <v>48</v>
      </c>
    </row>
    <row r="685" spans="2:20" ht="20.25" customHeight="1">
      <c r="C685" s="96"/>
      <c r="D685" s="102">
        <f t="shared" si="136"/>
        <v>685</v>
      </c>
      <c r="E685" s="158" t="s">
        <v>106</v>
      </c>
      <c r="F685" s="108">
        <f>D684</f>
        <v>684</v>
      </c>
      <c r="G685" s="105" t="s">
        <v>44</v>
      </c>
      <c r="H685" s="105"/>
      <c r="I685" s="104"/>
      <c r="J685" s="104"/>
      <c r="K685" s="160">
        <f>K684+K683</f>
        <v>4</v>
      </c>
      <c r="L685" s="118" t="s">
        <v>81</v>
      </c>
      <c r="M685" s="161">
        <f>K685</f>
        <v>4</v>
      </c>
      <c r="N685" s="104" t="s">
        <v>81</v>
      </c>
      <c r="O685" s="120">
        <v>0.5</v>
      </c>
      <c r="P685" s="104"/>
      <c r="Q685" s="150">
        <f t="shared" si="153"/>
        <v>2</v>
      </c>
      <c r="R685" s="148">
        <v>1</v>
      </c>
      <c r="S685" s="150">
        <f t="shared" si="154"/>
        <v>3</v>
      </c>
      <c r="T685" s="154" t="s">
        <v>48</v>
      </c>
    </row>
    <row r="686" spans="2:20" ht="20.25" customHeight="1">
      <c r="B686" s="111"/>
      <c r="C686" s="96">
        <f>D686</f>
        <v>686</v>
      </c>
      <c r="D686" s="102">
        <f t="shared" si="136"/>
        <v>686</v>
      </c>
      <c r="E686" s="113" t="s">
        <v>107</v>
      </c>
      <c r="F686" s="108">
        <f>D682</f>
        <v>682</v>
      </c>
      <c r="G686" s="105"/>
      <c r="H686" s="105"/>
      <c r="I686" s="104"/>
      <c r="J686" s="104"/>
      <c r="K686" s="118"/>
      <c r="L686" s="118"/>
      <c r="M686" s="119"/>
      <c r="N686" s="104"/>
      <c r="O686" s="120"/>
      <c r="P686" s="104"/>
      <c r="Q686" s="150"/>
      <c r="R686" s="148"/>
      <c r="S686" s="150"/>
      <c r="T686" s="149"/>
    </row>
    <row r="687" spans="2:20" ht="20.25" customHeight="1">
      <c r="C687" s="96"/>
      <c r="D687" s="102">
        <f t="shared" si="136"/>
        <v>687</v>
      </c>
      <c r="E687" s="159" t="s">
        <v>102</v>
      </c>
      <c r="F687" s="108">
        <f>D686</f>
        <v>686</v>
      </c>
      <c r="G687" s="105" t="s">
        <v>52</v>
      </c>
      <c r="H687" s="105"/>
      <c r="I687" s="120" t="str">
        <f>I683</f>
        <v>26" nb</v>
      </c>
      <c r="J687" s="104"/>
      <c r="K687" s="120">
        <f>K683</f>
        <v>2</v>
      </c>
      <c r="L687" s="118" t="s">
        <v>81</v>
      </c>
      <c r="M687" s="161">
        <f>K687</f>
        <v>2</v>
      </c>
      <c r="N687" s="104" t="s">
        <v>81</v>
      </c>
      <c r="O687" s="120">
        <v>0</v>
      </c>
      <c r="P687" s="104"/>
      <c r="Q687" s="150">
        <f t="shared" ref="Q687:Q689" si="155">M687*O687</f>
        <v>0</v>
      </c>
      <c r="R687" s="148">
        <v>0</v>
      </c>
      <c r="S687" s="150">
        <f t="shared" ref="S687:S689" si="156">Q687+R687</f>
        <v>0</v>
      </c>
      <c r="T687" s="154" t="s">
        <v>48</v>
      </c>
    </row>
    <row r="688" spans="2:20" ht="20.25" customHeight="1">
      <c r="C688" s="96"/>
      <c r="D688" s="102">
        <f t="shared" si="136"/>
        <v>688</v>
      </c>
      <c r="E688" s="159" t="s">
        <v>104</v>
      </c>
      <c r="F688" s="108">
        <f>D687</f>
        <v>687</v>
      </c>
      <c r="G688" s="105" t="s">
        <v>52</v>
      </c>
      <c r="H688" s="105"/>
      <c r="I688" s="120" t="str">
        <f>I684</f>
        <v>2"nb</v>
      </c>
      <c r="J688" s="104"/>
      <c r="K688" s="120">
        <f>K684</f>
        <v>2</v>
      </c>
      <c r="L688" s="118" t="s">
        <v>81</v>
      </c>
      <c r="M688" s="161">
        <f>K688</f>
        <v>2</v>
      </c>
      <c r="N688" s="104" t="s">
        <v>81</v>
      </c>
      <c r="O688" s="120">
        <v>0</v>
      </c>
      <c r="P688" s="104"/>
      <c r="Q688" s="150">
        <f t="shared" si="155"/>
        <v>0</v>
      </c>
      <c r="R688" s="148">
        <v>0</v>
      </c>
      <c r="S688" s="150">
        <f t="shared" si="156"/>
        <v>0</v>
      </c>
      <c r="T688" s="154" t="s">
        <v>48</v>
      </c>
    </row>
    <row r="689" spans="2:20" ht="20.25" customHeight="1">
      <c r="C689" s="96"/>
      <c r="D689" s="102">
        <f t="shared" si="136"/>
        <v>689</v>
      </c>
      <c r="E689" s="159" t="s">
        <v>106</v>
      </c>
      <c r="F689" s="108">
        <f>D688</f>
        <v>688</v>
      </c>
      <c r="G689" s="105" t="s">
        <v>52</v>
      </c>
      <c r="H689" s="105"/>
      <c r="I689" s="104"/>
      <c r="J689" s="104"/>
      <c r="K689" s="120">
        <f>K688+K687</f>
        <v>4</v>
      </c>
      <c r="L689" s="118" t="s">
        <v>81</v>
      </c>
      <c r="M689" s="161">
        <f>K689</f>
        <v>4</v>
      </c>
      <c r="N689" s="104" t="s">
        <v>81</v>
      </c>
      <c r="O689" s="120">
        <v>0</v>
      </c>
      <c r="P689" s="104"/>
      <c r="Q689" s="150">
        <f t="shared" si="155"/>
        <v>0</v>
      </c>
      <c r="R689" s="148">
        <v>0</v>
      </c>
      <c r="S689" s="150">
        <f t="shared" si="156"/>
        <v>0</v>
      </c>
      <c r="T689" s="154" t="s">
        <v>48</v>
      </c>
    </row>
    <row r="690" spans="2:20" ht="20.25" customHeight="1">
      <c r="B690" s="111"/>
      <c r="C690" s="96">
        <f>D690</f>
        <v>690</v>
      </c>
      <c r="D690" s="102">
        <f t="shared" si="136"/>
        <v>690</v>
      </c>
      <c r="E690" s="113" t="s">
        <v>108</v>
      </c>
      <c r="F690" s="108">
        <f>D686</f>
        <v>686</v>
      </c>
      <c r="G690" s="105"/>
      <c r="H690" s="105"/>
      <c r="I690" s="104"/>
      <c r="J690" s="104"/>
      <c r="K690" s="118"/>
      <c r="L690" s="118"/>
      <c r="M690" s="119"/>
      <c r="N690" s="104"/>
      <c r="O690" s="120"/>
      <c r="P690" s="104"/>
      <c r="Q690" s="150"/>
      <c r="R690" s="148"/>
      <c r="S690" s="150"/>
      <c r="T690" s="149"/>
    </row>
    <row r="691" spans="2:20" ht="20.25" customHeight="1">
      <c r="C691" s="96"/>
      <c r="D691" s="102">
        <f t="shared" si="136"/>
        <v>691</v>
      </c>
      <c r="E691" s="158" t="s">
        <v>102</v>
      </c>
      <c r="F691" s="108">
        <f>D690</f>
        <v>690</v>
      </c>
      <c r="G691" s="105" t="s">
        <v>52</v>
      </c>
      <c r="H691" s="105"/>
      <c r="I691" s="120" t="str">
        <f>I683</f>
        <v>26" nb</v>
      </c>
      <c r="J691" s="104"/>
      <c r="K691" s="118">
        <f>K683</f>
        <v>2</v>
      </c>
      <c r="L691" s="118" t="s">
        <v>81</v>
      </c>
      <c r="M691" s="161">
        <v>2</v>
      </c>
      <c r="N691" s="104" t="s">
        <v>81</v>
      </c>
      <c r="O691" s="120">
        <v>4</v>
      </c>
      <c r="P691" s="104"/>
      <c r="Q691" s="150">
        <f t="shared" ref="Q691:Q693" si="157">M691*O691</f>
        <v>8</v>
      </c>
      <c r="R691" s="148">
        <v>0</v>
      </c>
      <c r="S691" s="150">
        <f t="shared" ref="S691:S693" si="158">Q691+R691</f>
        <v>8</v>
      </c>
      <c r="T691" s="154" t="s">
        <v>48</v>
      </c>
    </row>
    <row r="692" spans="2:20" ht="20.25" customHeight="1">
      <c r="C692" s="96"/>
      <c r="D692" s="102">
        <f t="shared" si="136"/>
        <v>692</v>
      </c>
      <c r="E692" s="158" t="s">
        <v>104</v>
      </c>
      <c r="F692" s="108">
        <f>D691</f>
        <v>691</v>
      </c>
      <c r="G692" s="105" t="s">
        <v>52</v>
      </c>
      <c r="H692" s="105"/>
      <c r="I692" s="120" t="str">
        <f>I684</f>
        <v>2"nb</v>
      </c>
      <c r="J692" s="104"/>
      <c r="K692" s="118">
        <f>K684</f>
        <v>2</v>
      </c>
      <c r="L692" s="118" t="s">
        <v>81</v>
      </c>
      <c r="M692" s="161">
        <v>2</v>
      </c>
      <c r="N692" s="104" t="s">
        <v>81</v>
      </c>
      <c r="O692" s="120">
        <v>0</v>
      </c>
      <c r="P692" s="104"/>
      <c r="Q692" s="150">
        <f t="shared" si="157"/>
        <v>0</v>
      </c>
      <c r="R692" s="148">
        <v>0</v>
      </c>
      <c r="S692" s="150">
        <f t="shared" si="158"/>
        <v>0</v>
      </c>
      <c r="T692" s="154" t="s">
        <v>48</v>
      </c>
    </row>
    <row r="693" spans="2:20" ht="20.25" customHeight="1">
      <c r="C693" s="96"/>
      <c r="D693" s="102">
        <f t="shared" si="136"/>
        <v>693</v>
      </c>
      <c r="E693" s="158" t="s">
        <v>109</v>
      </c>
      <c r="F693" s="108">
        <f>D692</f>
        <v>692</v>
      </c>
      <c r="G693" s="105" t="s">
        <v>52</v>
      </c>
      <c r="H693" s="105"/>
      <c r="I693" s="104"/>
      <c r="J693" s="104"/>
      <c r="K693" s="141">
        <f>K692+K691</f>
        <v>4</v>
      </c>
      <c r="L693" s="118" t="s">
        <v>81</v>
      </c>
      <c r="M693" s="161">
        <v>4</v>
      </c>
      <c r="N693" s="104" t="s">
        <v>81</v>
      </c>
      <c r="O693" s="120">
        <v>0</v>
      </c>
      <c r="P693" s="104"/>
      <c r="Q693" s="150">
        <f t="shared" si="157"/>
        <v>0</v>
      </c>
      <c r="R693" s="148">
        <v>0</v>
      </c>
      <c r="S693" s="150">
        <f t="shared" si="158"/>
        <v>0</v>
      </c>
      <c r="T693" s="154" t="s">
        <v>48</v>
      </c>
    </row>
    <row r="694" spans="2:20" ht="20.25" customHeight="1">
      <c r="B694" s="111"/>
      <c r="C694" s="96">
        <f>D694</f>
        <v>694</v>
      </c>
      <c r="D694" s="102">
        <f t="shared" si="136"/>
        <v>694</v>
      </c>
      <c r="E694" s="113" t="s">
        <v>110</v>
      </c>
      <c r="F694" s="108">
        <f>D690</f>
        <v>690</v>
      </c>
      <c r="G694" s="105"/>
      <c r="H694" s="105"/>
      <c r="I694" s="104"/>
      <c r="J694" s="104"/>
      <c r="K694" s="118"/>
      <c r="L694" s="118"/>
      <c r="M694" s="119"/>
      <c r="N694" s="104"/>
      <c r="O694" s="120"/>
      <c r="P694" s="104"/>
      <c r="Q694" s="150"/>
      <c r="R694" s="148"/>
      <c r="S694" s="150"/>
      <c r="T694" s="149"/>
    </row>
    <row r="695" spans="2:20" ht="20.25" customHeight="1">
      <c r="C695" s="96"/>
      <c r="D695" s="102">
        <f t="shared" si="136"/>
        <v>695</v>
      </c>
      <c r="E695" s="159" t="s">
        <v>102</v>
      </c>
      <c r="F695" s="108">
        <f>D694</f>
        <v>694</v>
      </c>
      <c r="G695" s="105" t="s">
        <v>626</v>
      </c>
      <c r="H695" s="105"/>
      <c r="I695" s="120" t="str">
        <f>I683</f>
        <v>26" nb</v>
      </c>
      <c r="J695" s="104"/>
      <c r="K695" s="118">
        <v>2</v>
      </c>
      <c r="L695" s="118" t="s">
        <v>50</v>
      </c>
      <c r="M695" s="161">
        <v>2</v>
      </c>
      <c r="N695" s="104" t="s">
        <v>50</v>
      </c>
      <c r="O695" s="120">
        <v>4</v>
      </c>
      <c r="P695" s="104" t="s">
        <v>112</v>
      </c>
      <c r="Q695" s="150">
        <f t="shared" ref="Q695:Q697" si="159">M695*O695</f>
        <v>8</v>
      </c>
      <c r="R695" s="148">
        <v>1</v>
      </c>
      <c r="S695" s="150">
        <f t="shared" ref="S695:S697" si="160">Q695+R695</f>
        <v>9</v>
      </c>
      <c r="T695" s="154" t="s">
        <v>48</v>
      </c>
    </row>
    <row r="696" spans="2:20" ht="20.25" customHeight="1">
      <c r="C696" s="96"/>
      <c r="D696" s="102">
        <f t="shared" si="136"/>
        <v>696</v>
      </c>
      <c r="E696" s="159" t="s">
        <v>104</v>
      </c>
      <c r="F696" s="108">
        <f>D695</f>
        <v>695</v>
      </c>
      <c r="G696" s="105" t="s">
        <v>626</v>
      </c>
      <c r="H696" s="105"/>
      <c r="I696" s="120" t="str">
        <f>I684</f>
        <v>2"nb</v>
      </c>
      <c r="J696" s="104"/>
      <c r="K696" s="118">
        <v>2</v>
      </c>
      <c r="L696" s="118" t="s">
        <v>50</v>
      </c>
      <c r="M696" s="161">
        <v>2</v>
      </c>
      <c r="N696" s="104" t="s">
        <v>50</v>
      </c>
      <c r="O696" s="120">
        <v>0</v>
      </c>
      <c r="P696" s="104" t="s">
        <v>112</v>
      </c>
      <c r="Q696" s="150">
        <f t="shared" si="159"/>
        <v>0</v>
      </c>
      <c r="R696" s="148">
        <v>1</v>
      </c>
      <c r="S696" s="150">
        <f t="shared" si="160"/>
        <v>1</v>
      </c>
      <c r="T696" s="154" t="s">
        <v>48</v>
      </c>
    </row>
    <row r="697" spans="2:20" ht="20.25" customHeight="1">
      <c r="C697" s="96"/>
      <c r="D697" s="102">
        <f t="shared" si="136"/>
        <v>697</v>
      </c>
      <c r="E697" s="159" t="s">
        <v>113</v>
      </c>
      <c r="F697" s="108">
        <f>D696</f>
        <v>696</v>
      </c>
      <c r="G697" s="105" t="s">
        <v>626</v>
      </c>
      <c r="H697" s="105"/>
      <c r="I697" s="104"/>
      <c r="J697" s="104"/>
      <c r="K697" s="118">
        <v>4</v>
      </c>
      <c r="L697" s="118" t="s">
        <v>50</v>
      </c>
      <c r="M697" s="161">
        <v>4</v>
      </c>
      <c r="N697" s="104" t="s">
        <v>50</v>
      </c>
      <c r="O697" s="120">
        <v>0.25</v>
      </c>
      <c r="P697" s="104" t="s">
        <v>112</v>
      </c>
      <c r="Q697" s="150">
        <f t="shared" si="159"/>
        <v>1</v>
      </c>
      <c r="R697" s="148">
        <v>1</v>
      </c>
      <c r="S697" s="150">
        <f t="shared" si="160"/>
        <v>2</v>
      </c>
      <c r="T697" s="154" t="s">
        <v>48</v>
      </c>
    </row>
    <row r="698" spans="2:20" ht="20.25" customHeight="1">
      <c r="B698" s="111"/>
      <c r="C698" s="96">
        <f>D698</f>
        <v>698</v>
      </c>
      <c r="D698" s="102">
        <f t="shared" si="136"/>
        <v>698</v>
      </c>
      <c r="E698" s="113" t="s">
        <v>114</v>
      </c>
      <c r="F698" s="108">
        <f>D694</f>
        <v>694</v>
      </c>
      <c r="G698" s="105"/>
      <c r="H698" s="105"/>
      <c r="I698" s="104"/>
      <c r="J698" s="104"/>
      <c r="K698" s="118"/>
      <c r="L698" s="118"/>
      <c r="M698" s="119"/>
      <c r="N698" s="104"/>
      <c r="O698" s="120"/>
      <c r="P698" s="104"/>
      <c r="Q698" s="150"/>
      <c r="R698" s="148"/>
      <c r="S698" s="150"/>
      <c r="T698" s="149"/>
    </row>
    <row r="699" spans="2:20" ht="20.25" customHeight="1">
      <c r="C699" s="96"/>
      <c r="D699" s="102">
        <f t="shared" si="136"/>
        <v>699</v>
      </c>
      <c r="E699" s="158" t="s">
        <v>102</v>
      </c>
      <c r="F699" s="108">
        <f>D698</f>
        <v>698</v>
      </c>
      <c r="G699" s="105" t="s">
        <v>115</v>
      </c>
      <c r="H699" s="105"/>
      <c r="I699" s="138" t="s">
        <v>116</v>
      </c>
      <c r="J699" s="138" t="s">
        <v>117</v>
      </c>
      <c r="K699" s="118">
        <v>2</v>
      </c>
      <c r="L699" s="118" t="s">
        <v>50</v>
      </c>
      <c r="M699" s="128">
        <f>LEFT(J699,SEARCH(" ",J699,1)-1)*K699*0.001</f>
        <v>6.1080000000000005</v>
      </c>
      <c r="N699" s="104" t="s">
        <v>50</v>
      </c>
      <c r="O699" s="162">
        <f>6.12</f>
        <v>6.12</v>
      </c>
      <c r="P699" s="104" t="s">
        <v>112</v>
      </c>
      <c r="Q699" s="150">
        <f>M699*O699</f>
        <v>37.380960000000002</v>
      </c>
      <c r="R699" s="148">
        <v>1</v>
      </c>
      <c r="S699" s="150">
        <f t="shared" ref="S699:S701" si="161">Q699+R699</f>
        <v>38.380960000000002</v>
      </c>
      <c r="T699" s="154" t="s">
        <v>48</v>
      </c>
    </row>
    <row r="700" spans="2:20" ht="20.25" customHeight="1">
      <c r="C700" s="96"/>
      <c r="D700" s="102">
        <f t="shared" si="136"/>
        <v>700</v>
      </c>
      <c r="E700" s="158" t="s">
        <v>104</v>
      </c>
      <c r="F700" s="108">
        <f>D699</f>
        <v>699</v>
      </c>
      <c r="G700" s="105" t="s">
        <v>115</v>
      </c>
      <c r="H700" s="105"/>
      <c r="I700" s="160" t="str">
        <f>I688</f>
        <v>2"nb</v>
      </c>
      <c r="J700" s="104"/>
      <c r="K700" s="118">
        <v>2</v>
      </c>
      <c r="L700" s="118" t="s">
        <v>50</v>
      </c>
      <c r="M700" s="161">
        <v>0</v>
      </c>
      <c r="N700" s="104" t="s">
        <v>50</v>
      </c>
      <c r="O700" s="162"/>
      <c r="P700" s="104" t="s">
        <v>112</v>
      </c>
      <c r="Q700" s="150">
        <f t="shared" ref="Q700:Q701" si="162">M700*O700</f>
        <v>0</v>
      </c>
      <c r="R700" s="148"/>
      <c r="S700" s="150">
        <f t="shared" si="161"/>
        <v>0</v>
      </c>
      <c r="T700" s="154" t="s">
        <v>48</v>
      </c>
    </row>
    <row r="701" spans="2:20" ht="20.25" customHeight="1">
      <c r="C701" s="96"/>
      <c r="D701" s="102">
        <f t="shared" si="136"/>
        <v>701</v>
      </c>
      <c r="E701" s="158" t="s">
        <v>109</v>
      </c>
      <c r="F701" s="108">
        <f>D700</f>
        <v>700</v>
      </c>
      <c r="G701" s="105" t="s">
        <v>115</v>
      </c>
      <c r="H701" s="105"/>
      <c r="I701" s="104"/>
      <c r="J701" s="104"/>
      <c r="K701" s="118">
        <v>4</v>
      </c>
      <c r="L701" s="118" t="s">
        <v>50</v>
      </c>
      <c r="M701" s="161">
        <v>4</v>
      </c>
      <c r="N701" s="104" t="s">
        <v>50</v>
      </c>
      <c r="O701" s="120">
        <v>0.25</v>
      </c>
      <c r="P701" s="104" t="s">
        <v>112</v>
      </c>
      <c r="Q701" s="150">
        <f t="shared" si="162"/>
        <v>1</v>
      </c>
      <c r="R701" s="148">
        <v>1</v>
      </c>
      <c r="S701" s="150">
        <f t="shared" si="161"/>
        <v>2</v>
      </c>
      <c r="T701" s="154" t="s">
        <v>48</v>
      </c>
    </row>
    <row r="702" spans="2:20" ht="20.25" customHeight="1">
      <c r="B702" s="111"/>
      <c r="C702" s="96">
        <f>D702</f>
        <v>702</v>
      </c>
      <c r="D702" s="102">
        <f t="shared" si="136"/>
        <v>702</v>
      </c>
      <c r="E702" s="113" t="s">
        <v>119</v>
      </c>
      <c r="F702" s="108">
        <f>D698</f>
        <v>698</v>
      </c>
      <c r="G702" s="105"/>
      <c r="H702" s="105"/>
      <c r="I702" s="104"/>
      <c r="J702" s="104"/>
      <c r="K702" s="118"/>
      <c r="L702" s="118"/>
      <c r="M702" s="119"/>
      <c r="N702" s="104"/>
      <c r="O702" s="120"/>
      <c r="P702" s="104"/>
      <c r="Q702" s="150"/>
      <c r="R702" s="148"/>
      <c r="S702" s="150"/>
      <c r="T702" s="149"/>
    </row>
    <row r="703" spans="2:20" ht="20.25" customHeight="1">
      <c r="C703" s="96"/>
      <c r="D703" s="102">
        <f t="shared" si="136"/>
        <v>703</v>
      </c>
      <c r="E703" s="159" t="s">
        <v>102</v>
      </c>
      <c r="F703" s="108">
        <f>D702</f>
        <v>702</v>
      </c>
      <c r="G703" s="105" t="s">
        <v>44</v>
      </c>
      <c r="H703" s="105"/>
      <c r="I703" s="120" t="str">
        <f>I691</f>
        <v>26" nb</v>
      </c>
      <c r="J703" s="104"/>
      <c r="K703" s="118">
        <v>2</v>
      </c>
      <c r="L703" s="118" t="s">
        <v>50</v>
      </c>
      <c r="M703" s="119">
        <v>1</v>
      </c>
      <c r="N703" s="104" t="s">
        <v>50</v>
      </c>
      <c r="O703" s="162">
        <v>4</v>
      </c>
      <c r="P703" s="104" t="s">
        <v>112</v>
      </c>
      <c r="Q703" s="150">
        <f t="shared" ref="Q703:Q705" si="163">M703*O703</f>
        <v>4</v>
      </c>
      <c r="R703" s="148">
        <v>1</v>
      </c>
      <c r="S703" s="150">
        <f t="shared" ref="S703:S705" si="164">Q703+R703</f>
        <v>5</v>
      </c>
      <c r="T703" s="154" t="s">
        <v>48</v>
      </c>
    </row>
    <row r="704" spans="2:20" ht="20.25" customHeight="1">
      <c r="C704" s="96"/>
      <c r="D704" s="102">
        <f t="shared" si="136"/>
        <v>704</v>
      </c>
      <c r="E704" s="159" t="s">
        <v>104</v>
      </c>
      <c r="F704" s="108">
        <f>D703</f>
        <v>703</v>
      </c>
      <c r="G704" s="105" t="s">
        <v>44</v>
      </c>
      <c r="H704" s="105"/>
      <c r="I704" s="120" t="str">
        <f>I692</f>
        <v>2"nb</v>
      </c>
      <c r="J704" s="104"/>
      <c r="K704" s="118">
        <v>2</v>
      </c>
      <c r="L704" s="118" t="s">
        <v>50</v>
      </c>
      <c r="M704" s="119">
        <v>1</v>
      </c>
      <c r="N704" s="104" t="s">
        <v>50</v>
      </c>
      <c r="O704" s="162">
        <v>1</v>
      </c>
      <c r="P704" s="104" t="s">
        <v>112</v>
      </c>
      <c r="Q704" s="150">
        <f t="shared" si="163"/>
        <v>1</v>
      </c>
      <c r="R704" s="148">
        <v>1</v>
      </c>
      <c r="S704" s="150">
        <f t="shared" si="164"/>
        <v>2</v>
      </c>
      <c r="T704" s="154" t="s">
        <v>48</v>
      </c>
    </row>
    <row r="705" spans="2:20" ht="20.25" customHeight="1">
      <c r="C705" s="96"/>
      <c r="D705" s="102">
        <f t="shared" si="136"/>
        <v>705</v>
      </c>
      <c r="E705" s="159" t="s">
        <v>109</v>
      </c>
      <c r="F705" s="108">
        <f>D704</f>
        <v>704</v>
      </c>
      <c r="G705" s="105" t="s">
        <v>44</v>
      </c>
      <c r="H705" s="105"/>
      <c r="I705" s="104"/>
      <c r="J705" s="104"/>
      <c r="K705" s="118">
        <v>4</v>
      </c>
      <c r="L705" s="118" t="s">
        <v>50</v>
      </c>
      <c r="M705" s="119">
        <v>1</v>
      </c>
      <c r="N705" s="104" t="s">
        <v>50</v>
      </c>
      <c r="O705" s="120">
        <v>1</v>
      </c>
      <c r="P705" s="104" t="s">
        <v>112</v>
      </c>
      <c r="Q705" s="150">
        <f t="shared" si="163"/>
        <v>1</v>
      </c>
      <c r="R705" s="148">
        <v>1</v>
      </c>
      <c r="S705" s="150">
        <f t="shared" si="164"/>
        <v>2</v>
      </c>
      <c r="T705" s="154" t="s">
        <v>48</v>
      </c>
    </row>
    <row r="706" spans="2:20" ht="20.25" customHeight="1">
      <c r="B706" s="111"/>
      <c r="C706" s="96">
        <f>D706</f>
        <v>706</v>
      </c>
      <c r="D706" s="102">
        <f t="shared" si="136"/>
        <v>706</v>
      </c>
      <c r="E706" s="113" t="s">
        <v>743</v>
      </c>
      <c r="F706" s="108">
        <f>D702</f>
        <v>702</v>
      </c>
      <c r="G706" s="105"/>
      <c r="H706" s="105"/>
      <c r="I706" s="104"/>
      <c r="J706" s="104"/>
      <c r="K706" s="118"/>
      <c r="L706" s="118"/>
      <c r="M706" s="119"/>
      <c r="N706" s="104"/>
      <c r="O706" s="120"/>
      <c r="P706" s="104"/>
      <c r="Q706" s="150"/>
      <c r="R706" s="148"/>
      <c r="S706" s="150"/>
      <c r="T706" s="149"/>
    </row>
    <row r="707" spans="2:20" ht="20.25" customHeight="1">
      <c r="C707" s="96"/>
      <c r="D707" s="102">
        <f t="shared" si="136"/>
        <v>707</v>
      </c>
      <c r="E707" s="158" t="s">
        <v>102</v>
      </c>
      <c r="F707" s="108">
        <f>D706</f>
        <v>706</v>
      </c>
      <c r="G707" s="105" t="s">
        <v>121</v>
      </c>
      <c r="H707" s="105"/>
      <c r="I707" s="120" t="str">
        <f>I695</f>
        <v>26" nb</v>
      </c>
      <c r="J707" s="104"/>
      <c r="K707" s="118">
        <v>2</v>
      </c>
      <c r="L707" s="118" t="s">
        <v>50</v>
      </c>
      <c r="M707" s="119">
        <v>0</v>
      </c>
      <c r="N707" s="104" t="s">
        <v>50</v>
      </c>
      <c r="O707" s="162"/>
      <c r="P707" s="104" t="s">
        <v>112</v>
      </c>
      <c r="Q707" s="150">
        <f t="shared" ref="Q707:Q709" si="165">M707*O707</f>
        <v>0</v>
      </c>
      <c r="R707" s="148">
        <v>1</v>
      </c>
      <c r="S707" s="150">
        <f t="shared" ref="S707:S709" si="166">Q707+R707</f>
        <v>1</v>
      </c>
      <c r="T707" s="154" t="s">
        <v>48</v>
      </c>
    </row>
    <row r="708" spans="2:20" ht="20.25" customHeight="1">
      <c r="C708" s="96"/>
      <c r="D708" s="102">
        <f t="shared" ref="D708:D771" si="167">D707+1</f>
        <v>708</v>
      </c>
      <c r="E708" s="158" t="s">
        <v>104</v>
      </c>
      <c r="F708" s="108">
        <f>D707</f>
        <v>707</v>
      </c>
      <c r="G708" s="105" t="s">
        <v>121</v>
      </c>
      <c r="H708" s="105"/>
      <c r="I708" s="120" t="str">
        <f>I696</f>
        <v>2"nb</v>
      </c>
      <c r="J708" s="104"/>
      <c r="K708" s="118">
        <v>2</v>
      </c>
      <c r="L708" s="118" t="s">
        <v>50</v>
      </c>
      <c r="M708" s="119">
        <v>0</v>
      </c>
      <c r="N708" s="104" t="s">
        <v>50</v>
      </c>
      <c r="O708" s="162"/>
      <c r="P708" s="104" t="s">
        <v>112</v>
      </c>
      <c r="Q708" s="150">
        <f t="shared" si="165"/>
        <v>0</v>
      </c>
      <c r="R708" s="148">
        <v>1</v>
      </c>
      <c r="S708" s="150">
        <f t="shared" si="166"/>
        <v>1</v>
      </c>
      <c r="T708" s="154" t="s">
        <v>48</v>
      </c>
    </row>
    <row r="709" spans="2:20" ht="20.25" customHeight="1">
      <c r="C709" s="96"/>
      <c r="D709" s="102">
        <f t="shared" si="167"/>
        <v>709</v>
      </c>
      <c r="E709" s="158" t="s">
        <v>109</v>
      </c>
      <c r="F709" s="108">
        <f>D708</f>
        <v>708</v>
      </c>
      <c r="G709" s="105" t="s">
        <v>121</v>
      </c>
      <c r="H709" s="105"/>
      <c r="I709" s="104"/>
      <c r="J709" s="104"/>
      <c r="K709" s="118">
        <v>4</v>
      </c>
      <c r="L709" s="118" t="s">
        <v>50</v>
      </c>
      <c r="M709" s="119">
        <v>0</v>
      </c>
      <c r="N709" s="104" t="s">
        <v>50</v>
      </c>
      <c r="O709" s="120"/>
      <c r="P709" s="104" t="s">
        <v>112</v>
      </c>
      <c r="Q709" s="150">
        <f t="shared" si="165"/>
        <v>0</v>
      </c>
      <c r="R709" s="148">
        <v>1</v>
      </c>
      <c r="S709" s="150">
        <f t="shared" si="166"/>
        <v>1</v>
      </c>
      <c r="T709" s="154" t="s">
        <v>48</v>
      </c>
    </row>
    <row r="710" spans="2:20" ht="20.25" customHeight="1">
      <c r="B710" s="111"/>
      <c r="C710" s="96">
        <f>D710</f>
        <v>710</v>
      </c>
      <c r="D710" s="102">
        <f t="shared" si="167"/>
        <v>710</v>
      </c>
      <c r="E710" s="113" t="s">
        <v>744</v>
      </c>
      <c r="F710" s="108">
        <f>D706</f>
        <v>706</v>
      </c>
      <c r="G710" s="105"/>
      <c r="H710" s="105"/>
      <c r="I710" s="104"/>
      <c r="J710" s="104"/>
      <c r="K710" s="118"/>
      <c r="L710" s="118"/>
      <c r="M710" s="119"/>
      <c r="N710" s="104"/>
      <c r="O710" s="120"/>
      <c r="P710" s="104"/>
      <c r="Q710" s="150"/>
      <c r="R710" s="148"/>
      <c r="S710" s="150"/>
      <c r="T710" s="149"/>
    </row>
    <row r="711" spans="2:20" ht="20.25" customHeight="1">
      <c r="C711" s="96"/>
      <c r="D711" s="102">
        <f t="shared" si="167"/>
        <v>711</v>
      </c>
      <c r="E711" s="159" t="s">
        <v>102</v>
      </c>
      <c r="F711" s="108">
        <f t="shared" ref="F711:F713" si="168">D710</f>
        <v>710</v>
      </c>
      <c r="G711" s="105" t="s">
        <v>121</v>
      </c>
      <c r="H711" s="105"/>
      <c r="I711" s="132" t="s">
        <v>123</v>
      </c>
      <c r="J711" s="138" t="s">
        <v>117</v>
      </c>
      <c r="K711" s="118">
        <v>2</v>
      </c>
      <c r="L711" s="118" t="s">
        <v>50</v>
      </c>
      <c r="M711" s="128">
        <f>LEFT(J711,SEARCH(" ",J711,1)-1)*K711*0.001</f>
        <v>6.1080000000000005</v>
      </c>
      <c r="N711" s="104" t="s">
        <v>50</v>
      </c>
      <c r="O711" s="162">
        <v>1</v>
      </c>
      <c r="P711" s="104" t="s">
        <v>112</v>
      </c>
      <c r="Q711" s="150">
        <f t="shared" ref="Q711:Q713" si="169">M711*O711</f>
        <v>6.1080000000000005</v>
      </c>
      <c r="R711" s="148">
        <v>1</v>
      </c>
      <c r="S711" s="150">
        <f t="shared" ref="S711:S713" si="170">Q711+R711</f>
        <v>7.1080000000000005</v>
      </c>
      <c r="T711" s="154" t="s">
        <v>48</v>
      </c>
    </row>
    <row r="712" spans="2:20" ht="20.25" customHeight="1">
      <c r="C712" s="96"/>
      <c r="D712" s="102">
        <f t="shared" si="167"/>
        <v>712</v>
      </c>
      <c r="E712" s="159" t="s">
        <v>104</v>
      </c>
      <c r="F712" s="108">
        <f t="shared" si="168"/>
        <v>711</v>
      </c>
      <c r="G712" s="105" t="s">
        <v>121</v>
      </c>
      <c r="H712" s="105"/>
      <c r="I712" s="104">
        <v>18</v>
      </c>
      <c r="J712" s="112" t="s">
        <v>745</v>
      </c>
      <c r="K712" s="118">
        <v>2</v>
      </c>
      <c r="L712" s="118" t="s">
        <v>50</v>
      </c>
      <c r="M712" s="128">
        <f>LEFT(J712,SEARCH(" ",J712,1)-1)*K712*0.001</f>
        <v>0.54400000000000004</v>
      </c>
      <c r="N712" s="104" t="s">
        <v>50</v>
      </c>
      <c r="O712" s="162">
        <v>0.5</v>
      </c>
      <c r="P712" s="104" t="s">
        <v>112</v>
      </c>
      <c r="Q712" s="150">
        <f t="shared" si="169"/>
        <v>0.27200000000000002</v>
      </c>
      <c r="R712" s="148">
        <v>1</v>
      </c>
      <c r="S712" s="150">
        <f t="shared" si="170"/>
        <v>1.272</v>
      </c>
      <c r="T712" s="154" t="s">
        <v>48</v>
      </c>
    </row>
    <row r="713" spans="2:20" ht="20.25" customHeight="1">
      <c r="C713" s="96"/>
      <c r="D713" s="102">
        <f t="shared" si="167"/>
        <v>713</v>
      </c>
      <c r="E713" s="159" t="s">
        <v>109</v>
      </c>
      <c r="F713" s="108">
        <f t="shared" si="168"/>
        <v>712</v>
      </c>
      <c r="G713" s="105" t="s">
        <v>121</v>
      </c>
      <c r="H713" s="105"/>
      <c r="I713" s="104"/>
      <c r="J713" s="104"/>
      <c r="K713" s="118">
        <v>4</v>
      </c>
      <c r="L713" s="118" t="s">
        <v>50</v>
      </c>
      <c r="M713" s="119">
        <v>1</v>
      </c>
      <c r="N713" s="104" t="s">
        <v>50</v>
      </c>
      <c r="O713" s="120">
        <v>1</v>
      </c>
      <c r="P713" s="104" t="s">
        <v>112</v>
      </c>
      <c r="Q713" s="150">
        <f t="shared" si="169"/>
        <v>1</v>
      </c>
      <c r="R713" s="148">
        <v>1</v>
      </c>
      <c r="S713" s="150">
        <f t="shared" si="170"/>
        <v>2</v>
      </c>
      <c r="T713" s="154" t="s">
        <v>48</v>
      </c>
    </row>
    <row r="714" spans="2:20" ht="20.25" customHeight="1">
      <c r="B714" s="111"/>
      <c r="C714" s="96">
        <f>D714</f>
        <v>714</v>
      </c>
      <c r="D714" s="102">
        <f t="shared" si="167"/>
        <v>714</v>
      </c>
      <c r="E714" s="113" t="s">
        <v>124</v>
      </c>
      <c r="F714" s="108">
        <f>D710</f>
        <v>710</v>
      </c>
      <c r="G714" s="105"/>
      <c r="H714" s="105"/>
      <c r="I714" s="104"/>
      <c r="J714" s="104"/>
      <c r="K714" s="118"/>
      <c r="L714" s="118"/>
      <c r="M714" s="119"/>
      <c r="N714" s="104"/>
      <c r="O714" s="120"/>
      <c r="P714" s="104"/>
      <c r="Q714" s="150"/>
      <c r="R714" s="148"/>
      <c r="S714" s="150"/>
      <c r="T714" s="149"/>
    </row>
    <row r="715" spans="2:20" ht="20.25" customHeight="1">
      <c r="C715" s="96"/>
      <c r="D715" s="102">
        <f t="shared" si="167"/>
        <v>715</v>
      </c>
      <c r="E715" s="106" t="s">
        <v>125</v>
      </c>
      <c r="F715" s="108">
        <f t="shared" ref="F715:F717" si="171">D714</f>
        <v>714</v>
      </c>
      <c r="G715" s="105" t="s">
        <v>44</v>
      </c>
      <c r="H715" s="105"/>
      <c r="I715" s="138" t="s">
        <v>103</v>
      </c>
      <c r="J715" s="104"/>
      <c r="K715" s="160">
        <v>2</v>
      </c>
      <c r="L715" s="118" t="s">
        <v>81</v>
      </c>
      <c r="M715" s="161">
        <f>K715</f>
        <v>2</v>
      </c>
      <c r="N715" s="104" t="s">
        <v>81</v>
      </c>
      <c r="O715" s="120">
        <v>1</v>
      </c>
      <c r="P715" s="104"/>
      <c r="Q715" s="150">
        <f t="shared" ref="Q715:Q717" si="172">M715*O715</f>
        <v>2</v>
      </c>
      <c r="R715" s="148">
        <v>1</v>
      </c>
      <c r="S715" s="150">
        <f t="shared" ref="S715:S717" si="173">Q715+R715</f>
        <v>3</v>
      </c>
      <c r="T715" s="154" t="s">
        <v>48</v>
      </c>
    </row>
    <row r="716" spans="2:20" ht="20.25" customHeight="1">
      <c r="C716" s="96"/>
      <c r="D716" s="102">
        <f t="shared" si="167"/>
        <v>716</v>
      </c>
      <c r="E716" s="106" t="s">
        <v>104</v>
      </c>
      <c r="F716" s="108">
        <f t="shared" si="171"/>
        <v>715</v>
      </c>
      <c r="G716" s="105" t="s">
        <v>44</v>
      </c>
      <c r="H716" s="105"/>
      <c r="I716" s="138" t="s">
        <v>105</v>
      </c>
      <c r="J716" s="104"/>
      <c r="K716" s="160">
        <v>2</v>
      </c>
      <c r="L716" s="118" t="s">
        <v>81</v>
      </c>
      <c r="M716" s="161">
        <f>K716</f>
        <v>2</v>
      </c>
      <c r="N716" s="104" t="s">
        <v>81</v>
      </c>
      <c r="O716" s="120">
        <v>1</v>
      </c>
      <c r="P716" s="104"/>
      <c r="Q716" s="150">
        <f t="shared" si="172"/>
        <v>2</v>
      </c>
      <c r="R716" s="148">
        <v>1</v>
      </c>
      <c r="S716" s="150">
        <f t="shared" si="173"/>
        <v>3</v>
      </c>
      <c r="T716" s="154" t="s">
        <v>48</v>
      </c>
    </row>
    <row r="717" spans="2:20" ht="20.25" customHeight="1">
      <c r="C717" s="96"/>
      <c r="D717" s="102">
        <f t="shared" si="167"/>
        <v>717</v>
      </c>
      <c r="E717" s="106" t="s">
        <v>109</v>
      </c>
      <c r="F717" s="108">
        <f t="shared" si="171"/>
        <v>716</v>
      </c>
      <c r="G717" s="105" t="s">
        <v>44</v>
      </c>
      <c r="H717" s="105"/>
      <c r="I717" s="104"/>
      <c r="J717" s="104"/>
      <c r="K717" s="160">
        <f>K716+K715</f>
        <v>4</v>
      </c>
      <c r="L717" s="118" t="s">
        <v>81</v>
      </c>
      <c r="M717" s="161">
        <f>K717</f>
        <v>4</v>
      </c>
      <c r="N717" s="104" t="s">
        <v>81</v>
      </c>
      <c r="O717" s="120">
        <v>0.5</v>
      </c>
      <c r="P717" s="104"/>
      <c r="Q717" s="150">
        <f t="shared" si="172"/>
        <v>2</v>
      </c>
      <c r="R717" s="148">
        <v>1</v>
      </c>
      <c r="S717" s="150">
        <f t="shared" si="173"/>
        <v>3</v>
      </c>
      <c r="T717" s="154" t="s">
        <v>48</v>
      </c>
    </row>
    <row r="718" spans="2:20" ht="20.25" customHeight="1">
      <c r="B718" s="111"/>
      <c r="C718" s="96">
        <f>D718</f>
        <v>718</v>
      </c>
      <c r="D718" s="102">
        <f t="shared" si="167"/>
        <v>718</v>
      </c>
      <c r="E718" s="113" t="s">
        <v>126</v>
      </c>
      <c r="F718" s="112">
        <f>D714</f>
        <v>714</v>
      </c>
      <c r="G718" s="105"/>
      <c r="H718" s="105"/>
      <c r="I718" s="104"/>
      <c r="J718" s="104"/>
      <c r="K718" s="118"/>
      <c r="L718" s="118"/>
      <c r="M718" s="119"/>
      <c r="N718" s="104"/>
      <c r="O718" s="120"/>
      <c r="P718" s="104"/>
      <c r="Q718" s="150"/>
      <c r="R718" s="148"/>
      <c r="S718" s="150"/>
      <c r="T718" s="149"/>
    </row>
    <row r="719" spans="2:20" ht="20.25" customHeight="1">
      <c r="C719" s="96"/>
      <c r="D719" s="102">
        <f t="shared" si="167"/>
        <v>719</v>
      </c>
      <c r="E719" s="106" t="s">
        <v>125</v>
      </c>
      <c r="F719" s="108">
        <f t="shared" ref="F719:F721" si="174">D718</f>
        <v>718</v>
      </c>
      <c r="G719" s="105" t="s">
        <v>52</v>
      </c>
      <c r="H719" s="105"/>
      <c r="I719" s="120" t="str">
        <f>I715</f>
        <v>26" nb</v>
      </c>
      <c r="J719" s="104"/>
      <c r="K719" s="120">
        <f>K715</f>
        <v>2</v>
      </c>
      <c r="L719" s="118" t="s">
        <v>81</v>
      </c>
      <c r="M719" s="161">
        <f>K719</f>
        <v>2</v>
      </c>
      <c r="N719" s="104" t="s">
        <v>81</v>
      </c>
      <c r="O719" s="120">
        <v>0</v>
      </c>
      <c r="P719" s="104"/>
      <c r="Q719" s="150">
        <f t="shared" ref="Q719:Q721" si="175">M719*O719</f>
        <v>0</v>
      </c>
      <c r="R719" s="148">
        <v>0</v>
      </c>
      <c r="S719" s="150">
        <f t="shared" ref="S719:S721" si="176">Q719+R719</f>
        <v>0</v>
      </c>
      <c r="T719" s="154" t="s">
        <v>48</v>
      </c>
    </row>
    <row r="720" spans="2:20" ht="20.25" customHeight="1">
      <c r="C720" s="96"/>
      <c r="D720" s="102">
        <f t="shared" si="167"/>
        <v>720</v>
      </c>
      <c r="E720" s="106" t="s">
        <v>104</v>
      </c>
      <c r="F720" s="108">
        <f t="shared" si="174"/>
        <v>719</v>
      </c>
      <c r="G720" s="105" t="s">
        <v>52</v>
      </c>
      <c r="H720" s="105"/>
      <c r="I720" s="120" t="str">
        <f>I716</f>
        <v>2"nb</v>
      </c>
      <c r="J720" s="104"/>
      <c r="K720" s="120">
        <f>K716</f>
        <v>2</v>
      </c>
      <c r="L720" s="118" t="s">
        <v>81</v>
      </c>
      <c r="M720" s="161">
        <f>K720</f>
        <v>2</v>
      </c>
      <c r="N720" s="104" t="s">
        <v>81</v>
      </c>
      <c r="O720" s="120">
        <v>0</v>
      </c>
      <c r="P720" s="104"/>
      <c r="Q720" s="150">
        <f t="shared" si="175"/>
        <v>0</v>
      </c>
      <c r="R720" s="148">
        <v>0</v>
      </c>
      <c r="S720" s="150">
        <f t="shared" si="176"/>
        <v>0</v>
      </c>
      <c r="T720" s="154" t="s">
        <v>48</v>
      </c>
    </row>
    <row r="721" spans="2:20" ht="20.25" customHeight="1">
      <c r="C721" s="96"/>
      <c r="D721" s="102">
        <f t="shared" si="167"/>
        <v>721</v>
      </c>
      <c r="E721" s="106" t="s">
        <v>109</v>
      </c>
      <c r="F721" s="108">
        <f t="shared" si="174"/>
        <v>720</v>
      </c>
      <c r="G721" s="105" t="s">
        <v>52</v>
      </c>
      <c r="H721" s="105"/>
      <c r="I721" s="104"/>
      <c r="J721" s="104"/>
      <c r="K721" s="120">
        <f>K720+K719</f>
        <v>4</v>
      </c>
      <c r="L721" s="118" t="s">
        <v>81</v>
      </c>
      <c r="M721" s="161">
        <f>K721</f>
        <v>4</v>
      </c>
      <c r="N721" s="104" t="s">
        <v>81</v>
      </c>
      <c r="O721" s="120">
        <v>0</v>
      </c>
      <c r="P721" s="104"/>
      <c r="Q721" s="150">
        <f t="shared" si="175"/>
        <v>0</v>
      </c>
      <c r="R721" s="148">
        <v>0</v>
      </c>
      <c r="S721" s="150">
        <f t="shared" si="176"/>
        <v>0</v>
      </c>
      <c r="T721" s="154" t="s">
        <v>48</v>
      </c>
    </row>
    <row r="722" spans="2:20" ht="20.25" customHeight="1">
      <c r="B722" s="111"/>
      <c r="C722" s="96">
        <f>D722</f>
        <v>722</v>
      </c>
      <c r="D722" s="102">
        <f t="shared" si="167"/>
        <v>722</v>
      </c>
      <c r="E722" s="113" t="s">
        <v>127</v>
      </c>
      <c r="F722" s="108">
        <f>D718</f>
        <v>718</v>
      </c>
      <c r="G722" s="105"/>
      <c r="H722" s="105"/>
      <c r="I722" s="104"/>
      <c r="J722" s="104"/>
      <c r="K722" s="118"/>
      <c r="L722" s="118"/>
      <c r="M722" s="119"/>
      <c r="N722" s="104"/>
      <c r="O722" s="120"/>
      <c r="P722" s="104"/>
      <c r="Q722" s="150"/>
      <c r="R722" s="148"/>
      <c r="S722" s="150"/>
      <c r="T722" s="149"/>
    </row>
    <row r="723" spans="2:20" ht="20.25" customHeight="1">
      <c r="C723" s="96"/>
      <c r="D723" s="102">
        <f t="shared" si="167"/>
        <v>723</v>
      </c>
      <c r="E723" s="106" t="s">
        <v>125</v>
      </c>
      <c r="F723" s="108">
        <f t="shared" ref="F723:F725" si="177">D722</f>
        <v>722</v>
      </c>
      <c r="G723" s="105" t="s">
        <v>121</v>
      </c>
      <c r="H723" s="105"/>
      <c r="I723" s="120" t="str">
        <f>I715</f>
        <v>26" nb</v>
      </c>
      <c r="J723" s="104"/>
      <c r="K723" s="118">
        <f>K715</f>
        <v>2</v>
      </c>
      <c r="L723" s="118" t="s">
        <v>81</v>
      </c>
      <c r="M723" s="161">
        <v>2</v>
      </c>
      <c r="N723" s="104" t="s">
        <v>81</v>
      </c>
      <c r="O723" s="120">
        <v>4</v>
      </c>
      <c r="P723" s="104"/>
      <c r="Q723" s="150">
        <f t="shared" ref="Q723:Q725" si="178">M723*O723</f>
        <v>8</v>
      </c>
      <c r="R723" s="148">
        <v>0</v>
      </c>
      <c r="S723" s="150">
        <f t="shared" ref="S723:S725" si="179">Q723+R723</f>
        <v>8</v>
      </c>
      <c r="T723" s="154" t="s">
        <v>48</v>
      </c>
    </row>
    <row r="724" spans="2:20" ht="20.25" customHeight="1">
      <c r="C724" s="96"/>
      <c r="D724" s="102">
        <f t="shared" si="167"/>
        <v>724</v>
      </c>
      <c r="E724" s="106" t="s">
        <v>104</v>
      </c>
      <c r="F724" s="108">
        <f t="shared" si="177"/>
        <v>723</v>
      </c>
      <c r="G724" s="105" t="s">
        <v>121</v>
      </c>
      <c r="H724" s="105"/>
      <c r="I724" s="120" t="str">
        <f>I716</f>
        <v>2"nb</v>
      </c>
      <c r="J724" s="104"/>
      <c r="K724" s="118">
        <f>K716</f>
        <v>2</v>
      </c>
      <c r="L724" s="118" t="s">
        <v>81</v>
      </c>
      <c r="M724" s="161">
        <v>2</v>
      </c>
      <c r="N724" s="104" t="s">
        <v>81</v>
      </c>
      <c r="O724" s="120">
        <v>0</v>
      </c>
      <c r="P724" s="104"/>
      <c r="Q724" s="150">
        <f t="shared" si="178"/>
        <v>0</v>
      </c>
      <c r="R724" s="148">
        <v>0</v>
      </c>
      <c r="S724" s="150">
        <f t="shared" si="179"/>
        <v>0</v>
      </c>
      <c r="T724" s="154" t="s">
        <v>48</v>
      </c>
    </row>
    <row r="725" spans="2:20" ht="20.25" customHeight="1">
      <c r="C725" s="96"/>
      <c r="D725" s="102">
        <f t="shared" si="167"/>
        <v>725</v>
      </c>
      <c r="E725" s="106" t="s">
        <v>109</v>
      </c>
      <c r="F725" s="108">
        <f t="shared" si="177"/>
        <v>724</v>
      </c>
      <c r="G725" s="105" t="s">
        <v>121</v>
      </c>
      <c r="H725" s="105"/>
      <c r="I725" s="104"/>
      <c r="J725" s="104"/>
      <c r="K725" s="141">
        <f>K724+K723</f>
        <v>4</v>
      </c>
      <c r="L725" s="118" t="s">
        <v>81</v>
      </c>
      <c r="M725" s="161">
        <v>4</v>
      </c>
      <c r="N725" s="104" t="s">
        <v>81</v>
      </c>
      <c r="O725" s="120">
        <v>0</v>
      </c>
      <c r="P725" s="104"/>
      <c r="Q725" s="150">
        <f t="shared" si="178"/>
        <v>0</v>
      </c>
      <c r="R725" s="148">
        <v>0</v>
      </c>
      <c r="S725" s="150">
        <f t="shared" si="179"/>
        <v>0</v>
      </c>
      <c r="T725" s="154" t="s">
        <v>48</v>
      </c>
    </row>
    <row r="726" spans="2:20" ht="20.25" customHeight="1">
      <c r="B726" s="111"/>
      <c r="C726" s="96">
        <f>D726</f>
        <v>726</v>
      </c>
      <c r="D726" s="102">
        <f t="shared" si="167"/>
        <v>726</v>
      </c>
      <c r="E726" s="113" t="s">
        <v>128</v>
      </c>
      <c r="F726" s="108">
        <f>D722</f>
        <v>722</v>
      </c>
      <c r="G726" s="105"/>
      <c r="H726" s="105"/>
      <c r="I726" s="104"/>
      <c r="J726" s="104"/>
      <c r="K726" s="118"/>
      <c r="L726" s="118"/>
      <c r="M726" s="119"/>
      <c r="N726" s="104"/>
      <c r="O726" s="120"/>
      <c r="P726" s="104"/>
      <c r="Q726" s="150"/>
      <c r="R726" s="148"/>
      <c r="S726" s="150"/>
      <c r="T726" s="149"/>
    </row>
    <row r="727" spans="2:20" ht="20.25" customHeight="1">
      <c r="C727" s="96"/>
      <c r="D727" s="102">
        <f t="shared" si="167"/>
        <v>727</v>
      </c>
      <c r="E727" s="106" t="s">
        <v>125</v>
      </c>
      <c r="F727" s="108">
        <f t="shared" ref="F727:F729" si="180">D726</f>
        <v>726</v>
      </c>
      <c r="G727" s="105" t="s">
        <v>626</v>
      </c>
      <c r="H727" s="105"/>
      <c r="I727" s="120" t="str">
        <f>I715</f>
        <v>26" nb</v>
      </c>
      <c r="J727" s="104"/>
      <c r="K727" s="118">
        <v>2</v>
      </c>
      <c r="L727" s="118" t="s">
        <v>50</v>
      </c>
      <c r="M727" s="161">
        <v>2</v>
      </c>
      <c r="N727" s="104" t="s">
        <v>50</v>
      </c>
      <c r="O727" s="120">
        <v>4</v>
      </c>
      <c r="P727" s="104" t="s">
        <v>112</v>
      </c>
      <c r="Q727" s="150">
        <f t="shared" ref="Q727:Q729" si="181">M727*O727</f>
        <v>8</v>
      </c>
      <c r="R727" s="148">
        <v>1</v>
      </c>
      <c r="S727" s="150">
        <f t="shared" ref="S727:S729" si="182">Q727+R727</f>
        <v>9</v>
      </c>
      <c r="T727" s="154" t="s">
        <v>48</v>
      </c>
    </row>
    <row r="728" spans="2:20" ht="20.25" customHeight="1">
      <c r="C728" s="96"/>
      <c r="D728" s="102">
        <f t="shared" si="167"/>
        <v>728</v>
      </c>
      <c r="E728" s="106" t="s">
        <v>104</v>
      </c>
      <c r="F728" s="108">
        <f t="shared" si="180"/>
        <v>727</v>
      </c>
      <c r="G728" s="105" t="s">
        <v>626</v>
      </c>
      <c r="H728" s="105"/>
      <c r="I728" s="120" t="str">
        <f>I716</f>
        <v>2"nb</v>
      </c>
      <c r="J728" s="104"/>
      <c r="K728" s="118">
        <v>2</v>
      </c>
      <c r="L728" s="118" t="s">
        <v>50</v>
      </c>
      <c r="M728" s="161">
        <v>2</v>
      </c>
      <c r="N728" s="104" t="s">
        <v>50</v>
      </c>
      <c r="O728" s="120">
        <v>0</v>
      </c>
      <c r="P728" s="104" t="s">
        <v>112</v>
      </c>
      <c r="Q728" s="150">
        <f t="shared" si="181"/>
        <v>0</v>
      </c>
      <c r="R728" s="148">
        <v>1</v>
      </c>
      <c r="S728" s="150">
        <f t="shared" si="182"/>
        <v>1</v>
      </c>
      <c r="T728" s="154" t="s">
        <v>48</v>
      </c>
    </row>
    <row r="729" spans="2:20" ht="20.25" customHeight="1">
      <c r="C729" s="96"/>
      <c r="D729" s="102">
        <f t="shared" si="167"/>
        <v>729</v>
      </c>
      <c r="E729" s="106" t="s">
        <v>109</v>
      </c>
      <c r="F729" s="108">
        <f t="shared" si="180"/>
        <v>728</v>
      </c>
      <c r="G729" s="105" t="s">
        <v>626</v>
      </c>
      <c r="H729" s="105"/>
      <c r="I729" s="104"/>
      <c r="J729" s="104"/>
      <c r="K729" s="118">
        <v>4</v>
      </c>
      <c r="L729" s="118" t="s">
        <v>50</v>
      </c>
      <c r="M729" s="161">
        <v>4</v>
      </c>
      <c r="N729" s="104" t="s">
        <v>50</v>
      </c>
      <c r="O729" s="120">
        <v>0.25</v>
      </c>
      <c r="P729" s="104" t="s">
        <v>112</v>
      </c>
      <c r="Q729" s="150">
        <f t="shared" si="181"/>
        <v>1</v>
      </c>
      <c r="R729" s="148">
        <v>1</v>
      </c>
      <c r="S729" s="150">
        <f t="shared" si="182"/>
        <v>2</v>
      </c>
      <c r="T729" s="154" t="s">
        <v>48</v>
      </c>
    </row>
    <row r="730" spans="2:20" ht="20.25" customHeight="1">
      <c r="B730" s="111"/>
      <c r="C730" s="96">
        <f>D730</f>
        <v>730</v>
      </c>
      <c r="D730" s="102">
        <f t="shared" si="167"/>
        <v>730</v>
      </c>
      <c r="E730" s="113" t="s">
        <v>129</v>
      </c>
      <c r="F730" s="108">
        <f>D726</f>
        <v>726</v>
      </c>
      <c r="G730" s="105"/>
      <c r="H730" s="105"/>
      <c r="I730" s="104"/>
      <c r="J730" s="104"/>
      <c r="K730" s="118"/>
      <c r="L730" s="118"/>
      <c r="M730" s="119"/>
      <c r="N730" s="104"/>
      <c r="O730" s="120"/>
      <c r="P730" s="104"/>
      <c r="Q730" s="150"/>
      <c r="R730" s="148"/>
      <c r="S730" s="150"/>
      <c r="T730" s="149"/>
    </row>
    <row r="731" spans="2:20" ht="20.25" customHeight="1">
      <c r="C731" s="96"/>
      <c r="D731" s="102">
        <f t="shared" si="167"/>
        <v>731</v>
      </c>
      <c r="E731" s="106" t="s">
        <v>125</v>
      </c>
      <c r="F731" s="108">
        <f t="shared" ref="F731:F733" si="183">D730</f>
        <v>730</v>
      </c>
      <c r="G731" s="105" t="s">
        <v>115</v>
      </c>
      <c r="H731" s="105"/>
      <c r="I731" s="138" t="s">
        <v>116</v>
      </c>
      <c r="J731" s="138" t="s">
        <v>117</v>
      </c>
      <c r="K731" s="118">
        <v>2</v>
      </c>
      <c r="L731" s="118" t="s">
        <v>50</v>
      </c>
      <c r="M731" s="128">
        <f>LEFT(J731,SEARCH(" ",J731,1)-1)*K731*0.001</f>
        <v>6.1080000000000005</v>
      </c>
      <c r="N731" s="104" t="s">
        <v>50</v>
      </c>
      <c r="O731" s="162">
        <f>6.12</f>
        <v>6.12</v>
      </c>
      <c r="P731" s="104" t="s">
        <v>112</v>
      </c>
      <c r="Q731" s="150">
        <f>M731*O731</f>
        <v>37.380960000000002</v>
      </c>
      <c r="R731" s="148">
        <v>1</v>
      </c>
      <c r="S731" s="150">
        <f t="shared" ref="S731:S733" si="184">Q731+R731</f>
        <v>38.380960000000002</v>
      </c>
      <c r="T731" s="154" t="s">
        <v>48</v>
      </c>
    </row>
    <row r="732" spans="2:20" ht="20.25" customHeight="1">
      <c r="C732" s="96"/>
      <c r="D732" s="102">
        <f t="shared" si="167"/>
        <v>732</v>
      </c>
      <c r="E732" s="106" t="s">
        <v>104</v>
      </c>
      <c r="F732" s="108">
        <f t="shared" si="183"/>
        <v>731</v>
      </c>
      <c r="G732" s="105" t="s">
        <v>115</v>
      </c>
      <c r="H732" s="105"/>
      <c r="I732" s="160" t="str">
        <f>I720</f>
        <v>2"nb</v>
      </c>
      <c r="J732" s="104"/>
      <c r="K732" s="118">
        <v>2</v>
      </c>
      <c r="L732" s="118" t="s">
        <v>50</v>
      </c>
      <c r="M732" s="161">
        <v>0</v>
      </c>
      <c r="N732" s="104" t="s">
        <v>50</v>
      </c>
      <c r="O732" s="162"/>
      <c r="P732" s="104" t="s">
        <v>112</v>
      </c>
      <c r="Q732" s="150">
        <f t="shared" ref="Q732:Q733" si="185">M732*O732</f>
        <v>0</v>
      </c>
      <c r="R732" s="148"/>
      <c r="S732" s="150">
        <f t="shared" si="184"/>
        <v>0</v>
      </c>
      <c r="T732" s="154" t="s">
        <v>48</v>
      </c>
    </row>
    <row r="733" spans="2:20" ht="20.25" customHeight="1">
      <c r="C733" s="96"/>
      <c r="D733" s="102">
        <f t="shared" si="167"/>
        <v>733</v>
      </c>
      <c r="E733" s="106" t="s">
        <v>109</v>
      </c>
      <c r="F733" s="108">
        <f t="shared" si="183"/>
        <v>732</v>
      </c>
      <c r="G733" s="105" t="s">
        <v>115</v>
      </c>
      <c r="H733" s="105"/>
      <c r="I733" s="104"/>
      <c r="J733" s="104"/>
      <c r="K733" s="118">
        <v>4</v>
      </c>
      <c r="L733" s="118" t="s">
        <v>50</v>
      </c>
      <c r="M733" s="161">
        <v>4</v>
      </c>
      <c r="N733" s="104" t="s">
        <v>50</v>
      </c>
      <c r="O733" s="120">
        <v>0.25</v>
      </c>
      <c r="P733" s="104" t="s">
        <v>112</v>
      </c>
      <c r="Q733" s="150">
        <f t="shared" si="185"/>
        <v>1</v>
      </c>
      <c r="R733" s="148">
        <v>1</v>
      </c>
      <c r="S733" s="150">
        <f t="shared" si="184"/>
        <v>2</v>
      </c>
      <c r="T733" s="154" t="s">
        <v>48</v>
      </c>
    </row>
    <row r="734" spans="2:20" ht="20.25" customHeight="1">
      <c r="B734" s="111"/>
      <c r="C734" s="96">
        <f>D734</f>
        <v>734</v>
      </c>
      <c r="D734" s="102">
        <f t="shared" si="167"/>
        <v>734</v>
      </c>
      <c r="E734" s="113" t="s">
        <v>130</v>
      </c>
      <c r="F734" s="108">
        <f>D730</f>
        <v>730</v>
      </c>
      <c r="G734" s="105"/>
      <c r="H734" s="105"/>
      <c r="I734" s="104"/>
      <c r="J734" s="104"/>
      <c r="K734" s="118"/>
      <c r="L734" s="118"/>
      <c r="M734" s="119"/>
      <c r="N734" s="104"/>
      <c r="O734" s="120"/>
      <c r="P734" s="104"/>
      <c r="Q734" s="150"/>
      <c r="R734" s="148"/>
      <c r="S734" s="150"/>
      <c r="T734" s="149"/>
    </row>
    <row r="735" spans="2:20" ht="20.25" customHeight="1">
      <c r="C735" s="96"/>
      <c r="D735" s="102">
        <f t="shared" si="167"/>
        <v>735</v>
      </c>
      <c r="E735" s="106" t="s">
        <v>125</v>
      </c>
      <c r="F735" s="108">
        <f t="shared" ref="F735:F737" si="186">D734</f>
        <v>734</v>
      </c>
      <c r="G735" s="105" t="s">
        <v>44</v>
      </c>
      <c r="H735" s="105"/>
      <c r="I735" s="120" t="str">
        <f>I723</f>
        <v>26" nb</v>
      </c>
      <c r="J735" s="104"/>
      <c r="K735" s="118">
        <v>2</v>
      </c>
      <c r="L735" s="118" t="s">
        <v>50</v>
      </c>
      <c r="M735" s="119">
        <v>1</v>
      </c>
      <c r="N735" s="104" t="s">
        <v>50</v>
      </c>
      <c r="O735" s="162">
        <v>4</v>
      </c>
      <c r="P735" s="104" t="s">
        <v>112</v>
      </c>
      <c r="Q735" s="150">
        <f t="shared" ref="Q735:Q737" si="187">M735*O735</f>
        <v>4</v>
      </c>
      <c r="R735" s="148">
        <v>1</v>
      </c>
      <c r="S735" s="150">
        <f t="shared" ref="S735:S737" si="188">Q735+R735</f>
        <v>5</v>
      </c>
      <c r="T735" s="154" t="s">
        <v>48</v>
      </c>
    </row>
    <row r="736" spans="2:20" ht="20.25" customHeight="1">
      <c r="C736" s="96"/>
      <c r="D736" s="102">
        <f t="shared" si="167"/>
        <v>736</v>
      </c>
      <c r="E736" s="106" t="s">
        <v>104</v>
      </c>
      <c r="F736" s="108">
        <f t="shared" si="186"/>
        <v>735</v>
      </c>
      <c r="G736" s="105" t="s">
        <v>44</v>
      </c>
      <c r="H736" s="105"/>
      <c r="I736" s="120" t="str">
        <f>I724</f>
        <v>2"nb</v>
      </c>
      <c r="J736" s="104"/>
      <c r="K736" s="118">
        <v>2</v>
      </c>
      <c r="L736" s="118" t="s">
        <v>50</v>
      </c>
      <c r="M736" s="119">
        <v>1</v>
      </c>
      <c r="N736" s="104" t="s">
        <v>50</v>
      </c>
      <c r="O736" s="162">
        <v>1</v>
      </c>
      <c r="P736" s="104" t="s">
        <v>112</v>
      </c>
      <c r="Q736" s="150">
        <f t="shared" si="187"/>
        <v>1</v>
      </c>
      <c r="R736" s="148">
        <v>1</v>
      </c>
      <c r="S736" s="150">
        <f t="shared" si="188"/>
        <v>2</v>
      </c>
      <c r="T736" s="154" t="s">
        <v>48</v>
      </c>
    </row>
    <row r="737" spans="2:20" ht="20.25" customHeight="1">
      <c r="C737" s="96"/>
      <c r="D737" s="102">
        <f t="shared" si="167"/>
        <v>737</v>
      </c>
      <c r="E737" s="106" t="s">
        <v>109</v>
      </c>
      <c r="F737" s="108">
        <f t="shared" si="186"/>
        <v>736</v>
      </c>
      <c r="G737" s="105" t="s">
        <v>44</v>
      </c>
      <c r="H737" s="105"/>
      <c r="I737" s="104"/>
      <c r="J737" s="104"/>
      <c r="K737" s="118">
        <v>4</v>
      </c>
      <c r="L737" s="118" t="s">
        <v>50</v>
      </c>
      <c r="M737" s="119">
        <v>1</v>
      </c>
      <c r="N737" s="104" t="s">
        <v>50</v>
      </c>
      <c r="O737" s="120">
        <v>1</v>
      </c>
      <c r="P737" s="104" t="s">
        <v>112</v>
      </c>
      <c r="Q737" s="150">
        <f t="shared" si="187"/>
        <v>1</v>
      </c>
      <c r="R737" s="148">
        <v>1</v>
      </c>
      <c r="S737" s="150">
        <f t="shared" si="188"/>
        <v>2</v>
      </c>
      <c r="T737" s="154" t="s">
        <v>48</v>
      </c>
    </row>
    <row r="738" spans="2:20" ht="20.25" customHeight="1">
      <c r="B738" s="111"/>
      <c r="C738" s="96">
        <f>D738</f>
        <v>738</v>
      </c>
      <c r="D738" s="102">
        <f t="shared" si="167"/>
        <v>738</v>
      </c>
      <c r="E738" s="113" t="s">
        <v>746</v>
      </c>
      <c r="F738" s="108">
        <f>D734</f>
        <v>734</v>
      </c>
      <c r="G738" s="105"/>
      <c r="H738" s="105"/>
      <c r="I738" s="104"/>
      <c r="J738" s="104"/>
      <c r="K738" s="118"/>
      <c r="L738" s="118"/>
      <c r="M738" s="119"/>
      <c r="N738" s="104"/>
      <c r="O738" s="120"/>
      <c r="P738" s="104"/>
      <c r="Q738" s="150"/>
      <c r="R738" s="148"/>
      <c r="S738" s="150"/>
      <c r="T738" s="149"/>
    </row>
    <row r="739" spans="2:20" ht="20.25" customHeight="1">
      <c r="C739" s="96"/>
      <c r="D739" s="102">
        <f t="shared" si="167"/>
        <v>739</v>
      </c>
      <c r="E739" s="106" t="s">
        <v>125</v>
      </c>
      <c r="F739" s="108">
        <f t="shared" ref="F739:F741" si="189">D738</f>
        <v>738</v>
      </c>
      <c r="G739" s="105" t="s">
        <v>44</v>
      </c>
      <c r="H739" s="105"/>
      <c r="I739" s="120" t="str">
        <f>I727</f>
        <v>26" nb</v>
      </c>
      <c r="J739" s="104"/>
      <c r="K739" s="118">
        <v>2</v>
      </c>
      <c r="L739" s="118" t="s">
        <v>50</v>
      </c>
      <c r="M739" s="119">
        <v>0</v>
      </c>
      <c r="N739" s="104" t="s">
        <v>50</v>
      </c>
      <c r="O739" s="162"/>
      <c r="P739" s="104" t="s">
        <v>112</v>
      </c>
      <c r="Q739" s="150">
        <f t="shared" ref="Q739:Q741" si="190">M739*O739</f>
        <v>0</v>
      </c>
      <c r="R739" s="148">
        <v>1</v>
      </c>
      <c r="S739" s="150">
        <f t="shared" ref="S739:S741" si="191">Q739+R739</f>
        <v>1</v>
      </c>
      <c r="T739" s="154" t="s">
        <v>48</v>
      </c>
    </row>
    <row r="740" spans="2:20" ht="20.25" customHeight="1">
      <c r="C740" s="96"/>
      <c r="D740" s="102">
        <f t="shared" si="167"/>
        <v>740</v>
      </c>
      <c r="E740" s="106" t="s">
        <v>104</v>
      </c>
      <c r="F740" s="108">
        <f t="shared" si="189"/>
        <v>739</v>
      </c>
      <c r="G740" s="105" t="s">
        <v>44</v>
      </c>
      <c r="H740" s="105"/>
      <c r="I740" s="120" t="str">
        <f>I728</f>
        <v>2"nb</v>
      </c>
      <c r="J740" s="104"/>
      <c r="K740" s="118">
        <v>2</v>
      </c>
      <c r="L740" s="118" t="s">
        <v>50</v>
      </c>
      <c r="M740" s="119">
        <v>0</v>
      </c>
      <c r="N740" s="104" t="s">
        <v>50</v>
      </c>
      <c r="O740" s="162"/>
      <c r="P740" s="104" t="s">
        <v>112</v>
      </c>
      <c r="Q740" s="150">
        <f t="shared" si="190"/>
        <v>0</v>
      </c>
      <c r="R740" s="148">
        <v>1</v>
      </c>
      <c r="S740" s="150">
        <f t="shared" si="191"/>
        <v>1</v>
      </c>
      <c r="T740" s="154" t="s">
        <v>48</v>
      </c>
    </row>
    <row r="741" spans="2:20" ht="20.25" customHeight="1">
      <c r="C741" s="96"/>
      <c r="D741" s="102">
        <f t="shared" si="167"/>
        <v>741</v>
      </c>
      <c r="E741" s="106" t="s">
        <v>109</v>
      </c>
      <c r="F741" s="108">
        <f t="shared" si="189"/>
        <v>740</v>
      </c>
      <c r="G741" s="105" t="s">
        <v>44</v>
      </c>
      <c r="H741" s="105"/>
      <c r="I741" s="104"/>
      <c r="J741" s="104"/>
      <c r="K741" s="118">
        <v>4</v>
      </c>
      <c r="L741" s="118" t="s">
        <v>50</v>
      </c>
      <c r="M741" s="119">
        <v>0</v>
      </c>
      <c r="N741" s="104" t="s">
        <v>50</v>
      </c>
      <c r="O741" s="120"/>
      <c r="P741" s="104" t="s">
        <v>112</v>
      </c>
      <c r="Q741" s="150">
        <f t="shared" si="190"/>
        <v>0</v>
      </c>
      <c r="R741" s="148">
        <v>1</v>
      </c>
      <c r="S741" s="150">
        <f t="shared" si="191"/>
        <v>1</v>
      </c>
      <c r="T741" s="154" t="s">
        <v>48</v>
      </c>
    </row>
    <row r="742" spans="2:20" ht="20.25" customHeight="1">
      <c r="B742" s="111"/>
      <c r="C742" s="96">
        <f>D742</f>
        <v>742</v>
      </c>
      <c r="D742" s="102">
        <f t="shared" si="167"/>
        <v>742</v>
      </c>
      <c r="E742" s="113" t="s">
        <v>747</v>
      </c>
      <c r="F742" s="108">
        <f>D738</f>
        <v>738</v>
      </c>
      <c r="G742" s="105"/>
      <c r="H742" s="105"/>
      <c r="I742" s="104"/>
      <c r="J742" s="104"/>
      <c r="K742" s="118"/>
      <c r="L742" s="118"/>
      <c r="M742" s="119"/>
      <c r="N742" s="104"/>
      <c r="O742" s="120"/>
      <c r="P742" s="104"/>
      <c r="Q742" s="150"/>
      <c r="R742" s="148"/>
      <c r="S742" s="150"/>
      <c r="T742" s="149"/>
    </row>
    <row r="743" spans="2:20" ht="20.25" customHeight="1">
      <c r="C743" s="96"/>
      <c r="D743" s="102">
        <f t="shared" si="167"/>
        <v>743</v>
      </c>
      <c r="E743" s="106" t="s">
        <v>125</v>
      </c>
      <c r="F743" s="108">
        <f t="shared" ref="F743:F745" si="192">D742</f>
        <v>742</v>
      </c>
      <c r="G743" s="105" t="s">
        <v>121</v>
      </c>
      <c r="H743" s="105"/>
      <c r="I743" s="132" t="s">
        <v>123</v>
      </c>
      <c r="J743" s="138" t="s">
        <v>117</v>
      </c>
      <c r="K743" s="118">
        <v>2</v>
      </c>
      <c r="L743" s="118" t="s">
        <v>50</v>
      </c>
      <c r="M743" s="128">
        <f>LEFT(J743,SEARCH(" ",J743,1)-1)*K743*0.001</f>
        <v>6.1080000000000005</v>
      </c>
      <c r="N743" s="104" t="s">
        <v>50</v>
      </c>
      <c r="O743" s="162">
        <v>1</v>
      </c>
      <c r="P743" s="104" t="s">
        <v>112</v>
      </c>
      <c r="Q743" s="150">
        <f t="shared" ref="Q743:Q745" si="193">M743*O743</f>
        <v>6.1080000000000005</v>
      </c>
      <c r="R743" s="148">
        <v>1</v>
      </c>
      <c r="S743" s="150">
        <f t="shared" ref="S743:S745" si="194">Q743+R743</f>
        <v>7.1080000000000005</v>
      </c>
      <c r="T743" s="154" t="s">
        <v>48</v>
      </c>
    </row>
    <row r="744" spans="2:20" ht="20.25" customHeight="1">
      <c r="C744" s="96"/>
      <c r="D744" s="102">
        <f t="shared" si="167"/>
        <v>744</v>
      </c>
      <c r="E744" s="106" t="s">
        <v>104</v>
      </c>
      <c r="F744" s="108">
        <f t="shared" si="192"/>
        <v>743</v>
      </c>
      <c r="G744" s="105" t="s">
        <v>121</v>
      </c>
      <c r="H744" s="105"/>
      <c r="I744" s="104">
        <v>18</v>
      </c>
      <c r="J744" s="112" t="s">
        <v>745</v>
      </c>
      <c r="K744" s="118">
        <v>2</v>
      </c>
      <c r="L744" s="118" t="s">
        <v>50</v>
      </c>
      <c r="M744" s="128">
        <f>LEFT(J744,SEARCH(" ",J744,1)-1)*K744*0.001</f>
        <v>0.54400000000000004</v>
      </c>
      <c r="N744" s="104" t="s">
        <v>50</v>
      </c>
      <c r="O744" s="162">
        <v>0.5</v>
      </c>
      <c r="P744" s="104" t="s">
        <v>112</v>
      </c>
      <c r="Q744" s="150">
        <f t="shared" si="193"/>
        <v>0.27200000000000002</v>
      </c>
      <c r="R744" s="148">
        <v>1</v>
      </c>
      <c r="S744" s="150">
        <f t="shared" si="194"/>
        <v>1.272</v>
      </c>
      <c r="T744" s="154" t="s">
        <v>48</v>
      </c>
    </row>
    <row r="745" spans="2:20" ht="20.25" customHeight="1">
      <c r="C745" s="96"/>
      <c r="D745" s="102">
        <f t="shared" si="167"/>
        <v>745</v>
      </c>
      <c r="E745" s="106" t="s">
        <v>109</v>
      </c>
      <c r="F745" s="108">
        <f t="shared" si="192"/>
        <v>744</v>
      </c>
      <c r="G745" s="105" t="s">
        <v>121</v>
      </c>
      <c r="H745" s="105"/>
      <c r="I745" s="104"/>
      <c r="J745" s="104"/>
      <c r="K745" s="118">
        <v>4</v>
      </c>
      <c r="L745" s="118" t="s">
        <v>50</v>
      </c>
      <c r="M745" s="119">
        <v>1</v>
      </c>
      <c r="N745" s="104" t="s">
        <v>50</v>
      </c>
      <c r="O745" s="120">
        <v>1</v>
      </c>
      <c r="P745" s="104" t="s">
        <v>112</v>
      </c>
      <c r="Q745" s="150">
        <f t="shared" si="193"/>
        <v>1</v>
      </c>
      <c r="R745" s="148">
        <v>1</v>
      </c>
      <c r="S745" s="150">
        <f t="shared" si="194"/>
        <v>2</v>
      </c>
      <c r="T745" s="154" t="s">
        <v>48</v>
      </c>
    </row>
    <row r="746" spans="2:20" ht="20.25" customHeight="1">
      <c r="B746" s="111"/>
      <c r="C746" s="96">
        <f t="shared" ref="C746:C747" si="195">D746</f>
        <v>746</v>
      </c>
      <c r="D746" s="102">
        <f t="shared" si="167"/>
        <v>746</v>
      </c>
      <c r="E746" s="103" t="s">
        <v>133</v>
      </c>
      <c r="F746" s="108">
        <f>D742</f>
        <v>742</v>
      </c>
      <c r="G746" s="105"/>
      <c r="H746" s="105"/>
      <c r="I746" s="104"/>
      <c r="J746" s="104"/>
      <c r="K746" s="118"/>
      <c r="L746" s="118"/>
      <c r="M746" s="119"/>
      <c r="N746" s="104"/>
      <c r="O746" s="120"/>
      <c r="P746" s="104"/>
      <c r="Q746" s="150"/>
      <c r="R746" s="148"/>
      <c r="S746" s="150"/>
      <c r="T746" s="149"/>
    </row>
    <row r="747" spans="2:20" ht="20.25" customHeight="1">
      <c r="C747" s="96">
        <f t="shared" si="195"/>
        <v>747</v>
      </c>
      <c r="D747" s="102">
        <f t="shared" si="167"/>
        <v>747</v>
      </c>
      <c r="E747" s="113" t="s">
        <v>134</v>
      </c>
      <c r="F747" s="108">
        <f>D746</f>
        <v>746</v>
      </c>
      <c r="G747" s="105"/>
      <c r="H747" s="105"/>
      <c r="I747" s="104"/>
      <c r="J747" s="104"/>
      <c r="K747" s="118"/>
      <c r="L747" s="118"/>
      <c r="M747" s="119"/>
      <c r="N747" s="104"/>
      <c r="O747" s="120"/>
      <c r="P747" s="104"/>
      <c r="Q747" s="150"/>
      <c r="R747" s="148"/>
      <c r="S747" s="150"/>
      <c r="T747" s="149"/>
    </row>
    <row r="748" spans="2:20" ht="20.25" customHeight="1">
      <c r="C748" s="96"/>
      <c r="D748" s="102">
        <f t="shared" si="167"/>
        <v>748</v>
      </c>
      <c r="E748" s="106" t="s">
        <v>135</v>
      </c>
      <c r="F748" s="108">
        <f t="shared" ref="F748:F751" si="196">D747</f>
        <v>747</v>
      </c>
      <c r="G748" s="105"/>
      <c r="H748" s="105"/>
      <c r="I748" s="104"/>
      <c r="J748" s="104"/>
      <c r="K748" s="118">
        <v>1</v>
      </c>
      <c r="L748" s="141" t="s">
        <v>84</v>
      </c>
      <c r="M748" s="119">
        <v>1</v>
      </c>
      <c r="N748" s="132" t="s">
        <v>84</v>
      </c>
      <c r="O748" s="120">
        <v>4</v>
      </c>
      <c r="P748" s="132" t="s">
        <v>41</v>
      </c>
      <c r="Q748" s="150">
        <f t="shared" ref="Q748:Q751" si="197">M748*O748</f>
        <v>4</v>
      </c>
      <c r="R748" s="148">
        <v>0</v>
      </c>
      <c r="S748" s="150">
        <f t="shared" ref="S748:S751" si="198">Q748+R748</f>
        <v>4</v>
      </c>
      <c r="T748" s="152" t="s">
        <v>41</v>
      </c>
    </row>
    <row r="749" spans="2:20" ht="20.25" customHeight="1">
      <c r="C749" s="96"/>
      <c r="D749" s="102">
        <f t="shared" si="167"/>
        <v>749</v>
      </c>
      <c r="E749" s="106" t="s">
        <v>136</v>
      </c>
      <c r="F749" s="108">
        <f t="shared" si="196"/>
        <v>748</v>
      </c>
      <c r="G749" s="105" t="s">
        <v>44</v>
      </c>
      <c r="H749" s="105"/>
      <c r="I749" s="132" t="s">
        <v>137</v>
      </c>
      <c r="J749" s="132" t="s">
        <v>138</v>
      </c>
      <c r="K749" s="118">
        <v>1</v>
      </c>
      <c r="L749" s="141" t="s">
        <v>84</v>
      </c>
      <c r="M749" s="128">
        <f>LEFT(J749,SEARCH(" ",J749,1)-1)*K749</f>
        <v>9</v>
      </c>
      <c r="N749" s="104" t="s">
        <v>139</v>
      </c>
      <c r="O749" s="162">
        <v>0.25</v>
      </c>
      <c r="P749" s="104" t="s">
        <v>112</v>
      </c>
      <c r="Q749" s="150">
        <f t="shared" si="197"/>
        <v>2.25</v>
      </c>
      <c r="R749" s="148">
        <v>1</v>
      </c>
      <c r="S749" s="150">
        <f t="shared" si="198"/>
        <v>3.25</v>
      </c>
      <c r="T749" s="152" t="s">
        <v>162</v>
      </c>
    </row>
    <row r="750" spans="2:20" ht="20.25" customHeight="1">
      <c r="C750" s="96"/>
      <c r="D750" s="102">
        <f t="shared" si="167"/>
        <v>750</v>
      </c>
      <c r="E750" s="106" t="s">
        <v>140</v>
      </c>
      <c r="F750" s="108">
        <f t="shared" si="196"/>
        <v>749</v>
      </c>
      <c r="G750" s="105" t="s">
        <v>44</v>
      </c>
      <c r="H750" s="105"/>
      <c r="I750" s="104" t="str">
        <f>I749</f>
        <v>30/25</v>
      </c>
      <c r="J750" s="132" t="s">
        <v>141</v>
      </c>
      <c r="K750" s="164">
        <v>1</v>
      </c>
      <c r="L750" s="141" t="s">
        <v>84</v>
      </c>
      <c r="M750" s="128">
        <f t="shared" ref="M750:M751" si="199">LEFT(J750,SEARCH(" ",J750,1)-1)*K750</f>
        <v>29</v>
      </c>
      <c r="N750" s="104" t="s">
        <v>139</v>
      </c>
      <c r="O750" s="162">
        <v>0.25</v>
      </c>
      <c r="P750" s="104" t="s">
        <v>112</v>
      </c>
      <c r="Q750" s="150">
        <f t="shared" si="197"/>
        <v>7.25</v>
      </c>
      <c r="R750" s="148">
        <v>1</v>
      </c>
      <c r="S750" s="150">
        <f t="shared" si="198"/>
        <v>8.25</v>
      </c>
      <c r="T750" s="152" t="s">
        <v>162</v>
      </c>
    </row>
    <row r="751" spans="2:20" ht="20.25" customHeight="1">
      <c r="C751" s="96"/>
      <c r="D751" s="102">
        <f t="shared" si="167"/>
        <v>751</v>
      </c>
      <c r="E751" s="106" t="s">
        <v>142</v>
      </c>
      <c r="F751" s="108">
        <f t="shared" si="196"/>
        <v>750</v>
      </c>
      <c r="G751" s="105" t="s">
        <v>44</v>
      </c>
      <c r="H751" s="105"/>
      <c r="I751" s="104">
        <v>25</v>
      </c>
      <c r="J751" s="132" t="s">
        <v>143</v>
      </c>
      <c r="K751" s="118">
        <v>1</v>
      </c>
      <c r="L751" s="141" t="s">
        <v>84</v>
      </c>
      <c r="M751" s="128">
        <f t="shared" si="199"/>
        <v>10.5</v>
      </c>
      <c r="N751" s="104" t="s">
        <v>139</v>
      </c>
      <c r="O751" s="162">
        <v>0.25</v>
      </c>
      <c r="P751" s="104" t="s">
        <v>112</v>
      </c>
      <c r="Q751" s="150">
        <f t="shared" si="197"/>
        <v>2.625</v>
      </c>
      <c r="R751" s="148">
        <v>1</v>
      </c>
      <c r="S751" s="150">
        <f t="shared" si="198"/>
        <v>3.625</v>
      </c>
      <c r="T751" s="152" t="s">
        <v>162</v>
      </c>
    </row>
    <row r="752" spans="2:20" ht="20.25" customHeight="1">
      <c r="B752" s="111"/>
      <c r="C752" s="96">
        <f>D752</f>
        <v>752</v>
      </c>
      <c r="D752" s="102">
        <f t="shared" si="167"/>
        <v>752</v>
      </c>
      <c r="E752" s="113" t="s">
        <v>144</v>
      </c>
      <c r="F752" s="108">
        <f>D747</f>
        <v>747</v>
      </c>
      <c r="G752" s="105"/>
      <c r="H752" s="105"/>
      <c r="I752" s="104"/>
      <c r="J752" s="104"/>
      <c r="K752" s="118"/>
      <c r="L752" s="118"/>
      <c r="M752" s="119"/>
      <c r="N752" s="104"/>
      <c r="O752" s="120"/>
      <c r="P752" s="104"/>
      <c r="Q752" s="150"/>
      <c r="R752" s="148"/>
      <c r="S752" s="150"/>
      <c r="T752" s="149"/>
    </row>
    <row r="753" spans="2:20" ht="20.25" customHeight="1">
      <c r="C753" s="96"/>
      <c r="D753" s="102">
        <f t="shared" si="167"/>
        <v>753</v>
      </c>
      <c r="E753" s="106" t="s">
        <v>145</v>
      </c>
      <c r="F753" s="108">
        <f t="shared" ref="F753:F756" si="200">D752</f>
        <v>752</v>
      </c>
      <c r="G753" s="105" t="s">
        <v>52</v>
      </c>
      <c r="H753" s="105"/>
      <c r="I753" s="108" t="str">
        <f t="shared" ref="I753:J753" si="201">I749</f>
        <v>30/25</v>
      </c>
      <c r="J753" s="108" t="str">
        <f t="shared" si="201"/>
        <v>9 rmt</v>
      </c>
      <c r="K753" s="164">
        <f t="shared" ref="K753" si="202">K749</f>
        <v>1</v>
      </c>
      <c r="L753" s="118" t="s">
        <v>81</v>
      </c>
      <c r="M753" s="128">
        <f t="shared" ref="M753:M755" si="203">LEFT(J753,SEARCH(" ",J753,1)-1)*K753</f>
        <v>9</v>
      </c>
      <c r="N753" s="104" t="s">
        <v>139</v>
      </c>
      <c r="O753" s="162">
        <v>0.5</v>
      </c>
      <c r="P753" s="104" t="s">
        <v>112</v>
      </c>
      <c r="Q753" s="150">
        <f t="shared" ref="Q753:Q756" si="204">M753*O753</f>
        <v>4.5</v>
      </c>
      <c r="R753" s="148">
        <v>1</v>
      </c>
      <c r="S753" s="150">
        <f t="shared" ref="S753:S756" si="205">Q753+R753</f>
        <v>5.5</v>
      </c>
      <c r="T753" s="149" t="s">
        <v>48</v>
      </c>
    </row>
    <row r="754" spans="2:20" ht="20.25" customHeight="1">
      <c r="C754" s="96"/>
      <c r="D754" s="102">
        <f t="shared" si="167"/>
        <v>754</v>
      </c>
      <c r="E754" s="106" t="s">
        <v>146</v>
      </c>
      <c r="F754" s="108">
        <f t="shared" si="200"/>
        <v>753</v>
      </c>
      <c r="G754" s="105" t="s">
        <v>52</v>
      </c>
      <c r="H754" s="105"/>
      <c r="I754" s="108" t="str">
        <f t="shared" ref="I754:J754" si="206">I750</f>
        <v>30/25</v>
      </c>
      <c r="J754" s="108" t="str">
        <f t="shared" si="206"/>
        <v>29 rmt</v>
      </c>
      <c r="K754" s="164">
        <f t="shared" ref="K754" si="207">K750</f>
        <v>1</v>
      </c>
      <c r="L754" s="118" t="s">
        <v>81</v>
      </c>
      <c r="M754" s="128">
        <f t="shared" si="203"/>
        <v>29</v>
      </c>
      <c r="N754" s="104" t="s">
        <v>139</v>
      </c>
      <c r="O754" s="162">
        <v>0.5</v>
      </c>
      <c r="P754" s="104" t="s">
        <v>112</v>
      </c>
      <c r="Q754" s="150">
        <f t="shared" si="204"/>
        <v>14.5</v>
      </c>
      <c r="R754" s="148">
        <v>1</v>
      </c>
      <c r="S754" s="150">
        <f t="shared" si="205"/>
        <v>15.5</v>
      </c>
      <c r="T754" s="149" t="s">
        <v>48</v>
      </c>
    </row>
    <row r="755" spans="2:20" ht="20.25" customHeight="1">
      <c r="C755" s="96"/>
      <c r="D755" s="102">
        <f t="shared" si="167"/>
        <v>755</v>
      </c>
      <c r="E755" s="106" t="s">
        <v>147</v>
      </c>
      <c r="F755" s="108">
        <f t="shared" si="200"/>
        <v>754</v>
      </c>
      <c r="G755" s="105" t="s">
        <v>52</v>
      </c>
      <c r="H755" s="105"/>
      <c r="I755" s="108">
        <f t="shared" ref="I755:J755" si="208">I751</f>
        <v>25</v>
      </c>
      <c r="J755" s="108" t="str">
        <f t="shared" si="208"/>
        <v>10.5 Rmt</v>
      </c>
      <c r="K755" s="164">
        <f t="shared" ref="K755" si="209">K751</f>
        <v>1</v>
      </c>
      <c r="L755" s="118" t="s">
        <v>81</v>
      </c>
      <c r="M755" s="128">
        <f t="shared" si="203"/>
        <v>10.5</v>
      </c>
      <c r="N755" s="104" t="s">
        <v>139</v>
      </c>
      <c r="O755" s="162">
        <f>VLOOKUP(I755,BM!$B$3:$Y$62,3,FALSE)</f>
        <v>0.25</v>
      </c>
      <c r="P755" s="104" t="s">
        <v>112</v>
      </c>
      <c r="Q755" s="150">
        <f t="shared" si="204"/>
        <v>2.625</v>
      </c>
      <c r="R755" s="148">
        <v>1</v>
      </c>
      <c r="S755" s="150">
        <f t="shared" si="205"/>
        <v>3.625</v>
      </c>
      <c r="T755" s="149" t="s">
        <v>48</v>
      </c>
    </row>
    <row r="756" spans="2:20" ht="20.25" customHeight="1">
      <c r="C756" s="96"/>
      <c r="D756" s="102">
        <f t="shared" si="167"/>
        <v>756</v>
      </c>
      <c r="E756" s="106" t="s">
        <v>148</v>
      </c>
      <c r="F756" s="108">
        <f t="shared" si="200"/>
        <v>755</v>
      </c>
      <c r="G756" s="105" t="s">
        <v>149</v>
      </c>
      <c r="H756" s="105"/>
      <c r="I756" s="104">
        <v>25</v>
      </c>
      <c r="J756" s="104"/>
      <c r="K756" s="118"/>
      <c r="L756" s="118"/>
      <c r="M756" s="142">
        <f>M753+M754+M755</f>
        <v>48.5</v>
      </c>
      <c r="N756" s="104" t="s">
        <v>139</v>
      </c>
      <c r="O756" s="162">
        <f>VLOOKUP(I756,BM!$B$3:$Y$62,4,FALSE)</f>
        <v>0.15</v>
      </c>
      <c r="P756" s="104" t="s">
        <v>112</v>
      </c>
      <c r="Q756" s="150">
        <f t="shared" si="204"/>
        <v>7.2749999999999995</v>
      </c>
      <c r="R756" s="148">
        <v>1</v>
      </c>
      <c r="S756" s="150">
        <f t="shared" si="205"/>
        <v>8.2749999999999986</v>
      </c>
      <c r="T756" s="149" t="s">
        <v>48</v>
      </c>
    </row>
    <row r="757" spans="2:20" ht="20.25" customHeight="1">
      <c r="B757" s="111"/>
      <c r="C757" s="96">
        <f>D757</f>
        <v>757</v>
      </c>
      <c r="D757" s="102">
        <f t="shared" si="167"/>
        <v>757</v>
      </c>
      <c r="E757" s="103" t="s">
        <v>150</v>
      </c>
      <c r="F757" s="108">
        <f>D752</f>
        <v>752</v>
      </c>
      <c r="G757" s="105"/>
      <c r="H757" s="105"/>
      <c r="I757" s="104"/>
      <c r="J757" s="104"/>
      <c r="K757" s="118"/>
      <c r="L757" s="118"/>
      <c r="M757" s="119"/>
      <c r="N757" s="104"/>
      <c r="O757" s="120"/>
      <c r="P757" s="104"/>
      <c r="Q757" s="150"/>
      <c r="R757" s="148"/>
      <c r="S757" s="150"/>
      <c r="T757" s="149"/>
    </row>
    <row r="758" spans="2:20" ht="20.25" customHeight="1">
      <c r="C758" s="96"/>
      <c r="D758" s="102">
        <f t="shared" si="167"/>
        <v>758</v>
      </c>
      <c r="E758" s="106" t="s">
        <v>151</v>
      </c>
      <c r="F758" s="108">
        <f t="shared" ref="F758:F761" si="210">D757</f>
        <v>757</v>
      </c>
      <c r="G758" s="105" t="s">
        <v>748</v>
      </c>
      <c r="H758" s="105"/>
      <c r="I758" s="104"/>
      <c r="J758" s="104"/>
      <c r="K758" s="118">
        <v>1</v>
      </c>
      <c r="L758" s="118" t="s">
        <v>84</v>
      </c>
      <c r="M758" s="119">
        <v>1</v>
      </c>
      <c r="N758" s="104" t="s">
        <v>39</v>
      </c>
      <c r="O758" s="120">
        <v>8</v>
      </c>
      <c r="P758" s="104" t="s">
        <v>112</v>
      </c>
      <c r="Q758" s="150">
        <f t="shared" ref="Q758:Q761" si="211">M758*O758</f>
        <v>8</v>
      </c>
      <c r="R758" s="148">
        <v>1</v>
      </c>
      <c r="S758" s="150">
        <f t="shared" ref="S758:S761" si="212">Q758+R758</f>
        <v>9</v>
      </c>
      <c r="T758" s="149" t="s">
        <v>48</v>
      </c>
    </row>
    <row r="759" spans="2:20" ht="20.25" customHeight="1">
      <c r="C759" s="96"/>
      <c r="D759" s="102">
        <f t="shared" si="167"/>
        <v>759</v>
      </c>
      <c r="E759" s="106" t="s">
        <v>153</v>
      </c>
      <c r="F759" s="108">
        <f t="shared" si="210"/>
        <v>758</v>
      </c>
      <c r="G759" s="105" t="s">
        <v>115</v>
      </c>
      <c r="H759" s="105"/>
      <c r="I759" s="104">
        <v>18</v>
      </c>
      <c r="J759" s="104"/>
      <c r="K759" s="118">
        <v>1</v>
      </c>
      <c r="L759" s="118" t="s">
        <v>84</v>
      </c>
      <c r="M759" s="142">
        <v>4</v>
      </c>
      <c r="N759" s="104" t="s">
        <v>39</v>
      </c>
      <c r="O759" s="130">
        <f>VLOOKUP(I759,BM!$B$3:$Y$62,22,FALSE)</f>
        <v>3.4</v>
      </c>
      <c r="P759" s="104" t="s">
        <v>112</v>
      </c>
      <c r="Q759" s="150">
        <f t="shared" si="211"/>
        <v>13.6</v>
      </c>
      <c r="R759" s="148">
        <v>1</v>
      </c>
      <c r="S759" s="150">
        <f t="shared" si="212"/>
        <v>14.6</v>
      </c>
      <c r="T759" s="149" t="s">
        <v>48</v>
      </c>
    </row>
    <row r="760" spans="2:20" ht="20.25" customHeight="1">
      <c r="C760" s="96"/>
      <c r="D760" s="102">
        <f t="shared" si="167"/>
        <v>760</v>
      </c>
      <c r="E760" s="106" t="s">
        <v>154</v>
      </c>
      <c r="F760" s="108">
        <f t="shared" si="210"/>
        <v>759</v>
      </c>
      <c r="G760" s="105" t="s">
        <v>748</v>
      </c>
      <c r="H760" s="105"/>
      <c r="I760" s="104"/>
      <c r="J760" s="104"/>
      <c r="K760" s="118">
        <v>1</v>
      </c>
      <c r="L760" s="118" t="s">
        <v>84</v>
      </c>
      <c r="M760" s="119">
        <v>1</v>
      </c>
      <c r="N760" s="104" t="s">
        <v>39</v>
      </c>
      <c r="O760" s="120">
        <v>8</v>
      </c>
      <c r="P760" s="104" t="s">
        <v>112</v>
      </c>
      <c r="Q760" s="150">
        <f t="shared" si="211"/>
        <v>8</v>
      </c>
      <c r="R760" s="148">
        <v>1</v>
      </c>
      <c r="S760" s="150">
        <f t="shared" si="212"/>
        <v>9</v>
      </c>
      <c r="T760" s="149" t="s">
        <v>48</v>
      </c>
    </row>
    <row r="761" spans="2:20" ht="20.25" customHeight="1">
      <c r="C761" s="96"/>
      <c r="D761" s="102">
        <f t="shared" si="167"/>
        <v>761</v>
      </c>
      <c r="E761" s="106" t="s">
        <v>155</v>
      </c>
      <c r="F761" s="108">
        <f t="shared" si="210"/>
        <v>760</v>
      </c>
      <c r="G761" s="105" t="s">
        <v>156</v>
      </c>
      <c r="H761" s="105"/>
      <c r="I761" s="104">
        <v>18</v>
      </c>
      <c r="J761" s="104"/>
      <c r="K761" s="118">
        <v>1</v>
      </c>
      <c r="L761" s="118" t="s">
        <v>84</v>
      </c>
      <c r="M761" s="142">
        <v>24.8</v>
      </c>
      <c r="N761" s="104" t="s">
        <v>39</v>
      </c>
      <c r="O761" s="130">
        <f>VLOOKUP(I761,BM!$B$3:$Y$62,22,FALSE)</f>
        <v>3.4</v>
      </c>
      <c r="P761" s="104" t="s">
        <v>112</v>
      </c>
      <c r="Q761" s="150">
        <f t="shared" si="211"/>
        <v>84.32</v>
      </c>
      <c r="R761" s="148">
        <v>1</v>
      </c>
      <c r="S761" s="150">
        <f t="shared" si="212"/>
        <v>85.32</v>
      </c>
      <c r="T761" s="149" t="s">
        <v>48</v>
      </c>
    </row>
    <row r="762" spans="2:20" ht="20.25" customHeight="1">
      <c r="B762" s="111"/>
      <c r="C762" s="96">
        <f>D762</f>
        <v>762</v>
      </c>
      <c r="D762" s="102">
        <f t="shared" si="167"/>
        <v>762</v>
      </c>
      <c r="E762" s="103" t="s">
        <v>157</v>
      </c>
      <c r="F762" s="108">
        <f>D757</f>
        <v>757</v>
      </c>
      <c r="G762" s="105"/>
      <c r="H762" s="105"/>
      <c r="I762" s="104"/>
      <c r="J762" s="104"/>
      <c r="K762" s="118"/>
      <c r="L762" s="118"/>
      <c r="M762" s="119"/>
      <c r="N762" s="104"/>
      <c r="O762" s="120"/>
      <c r="P762" s="104"/>
      <c r="Q762" s="150"/>
      <c r="R762" s="148"/>
      <c r="S762" s="150"/>
      <c r="T762" s="149"/>
    </row>
    <row r="763" spans="2:20" ht="20.25" customHeight="1">
      <c r="C763" s="96"/>
      <c r="D763" s="102">
        <f t="shared" si="167"/>
        <v>763</v>
      </c>
      <c r="E763" s="106" t="s">
        <v>158</v>
      </c>
      <c r="F763" s="108">
        <f t="shared" ref="F763:F776" si="213">D762</f>
        <v>762</v>
      </c>
      <c r="G763" s="105" t="s">
        <v>159</v>
      </c>
      <c r="H763" s="105"/>
      <c r="I763" s="104"/>
      <c r="J763" s="104"/>
      <c r="K763" s="118">
        <v>1</v>
      </c>
      <c r="L763" s="118" t="s">
        <v>160</v>
      </c>
      <c r="M763" s="119">
        <v>1</v>
      </c>
      <c r="N763" s="104" t="s">
        <v>160</v>
      </c>
      <c r="O763" s="120">
        <v>4</v>
      </c>
      <c r="P763" s="104" t="s">
        <v>41</v>
      </c>
      <c r="Q763" s="150">
        <f t="shared" ref="Q763:Q776" si="214">M763*O763</f>
        <v>4</v>
      </c>
      <c r="R763" s="148"/>
      <c r="S763" s="150">
        <f t="shared" ref="S763:S776" si="215">Q763+R763</f>
        <v>4</v>
      </c>
      <c r="T763" s="149" t="s">
        <v>42</v>
      </c>
    </row>
    <row r="764" spans="2:20" ht="20.25" customHeight="1">
      <c r="C764" s="96"/>
      <c r="D764" s="102">
        <f t="shared" si="167"/>
        <v>764</v>
      </c>
      <c r="E764" s="106" t="s">
        <v>161</v>
      </c>
      <c r="F764" s="108">
        <f t="shared" si="213"/>
        <v>763</v>
      </c>
      <c r="G764" s="105" t="s">
        <v>44</v>
      </c>
      <c r="H764" s="105"/>
      <c r="I764" s="104"/>
      <c r="J764" s="104"/>
      <c r="K764" s="118">
        <v>6</v>
      </c>
      <c r="L764" s="118" t="s">
        <v>81</v>
      </c>
      <c r="M764" s="119">
        <v>6</v>
      </c>
      <c r="N764" s="104" t="s">
        <v>81</v>
      </c>
      <c r="O764" s="120">
        <v>0.5</v>
      </c>
      <c r="P764" s="104" t="s">
        <v>162</v>
      </c>
      <c r="Q764" s="150">
        <f t="shared" si="214"/>
        <v>3</v>
      </c>
      <c r="R764" s="148"/>
      <c r="S764" s="150">
        <f t="shared" si="215"/>
        <v>3</v>
      </c>
      <c r="T764" s="149" t="s">
        <v>48</v>
      </c>
    </row>
    <row r="765" spans="2:20" ht="20.25" customHeight="1">
      <c r="C765" s="96"/>
      <c r="D765" s="102">
        <f t="shared" si="167"/>
        <v>765</v>
      </c>
      <c r="E765" s="106" t="s">
        <v>163</v>
      </c>
      <c r="F765" s="108">
        <f t="shared" si="213"/>
        <v>764</v>
      </c>
      <c r="G765" s="105" t="s">
        <v>44</v>
      </c>
      <c r="H765" s="105"/>
      <c r="I765" s="104">
        <v>16</v>
      </c>
      <c r="J765" s="104"/>
      <c r="K765" s="118">
        <v>4</v>
      </c>
      <c r="L765" s="118" t="s">
        <v>81</v>
      </c>
      <c r="M765" s="142">
        <f>K765</f>
        <v>4</v>
      </c>
      <c r="N765" s="104" t="s">
        <v>81</v>
      </c>
      <c r="O765" s="120">
        <v>0.5</v>
      </c>
      <c r="P765" s="104" t="s">
        <v>162</v>
      </c>
      <c r="Q765" s="150">
        <f t="shared" si="214"/>
        <v>2</v>
      </c>
      <c r="R765" s="148"/>
      <c r="S765" s="150">
        <f t="shared" si="215"/>
        <v>2</v>
      </c>
      <c r="T765" s="149" t="s">
        <v>48</v>
      </c>
    </row>
    <row r="766" spans="2:20" ht="20.25" customHeight="1">
      <c r="C766" s="96"/>
      <c r="D766" s="102">
        <f t="shared" si="167"/>
        <v>766</v>
      </c>
      <c r="E766" s="106" t="s">
        <v>164</v>
      </c>
      <c r="F766" s="108">
        <f t="shared" si="213"/>
        <v>765</v>
      </c>
      <c r="G766" s="105" t="s">
        <v>44</v>
      </c>
      <c r="H766" s="105"/>
      <c r="I766" s="104">
        <v>16</v>
      </c>
      <c r="J766" s="104"/>
      <c r="K766" s="118">
        <v>4</v>
      </c>
      <c r="L766" s="118" t="s">
        <v>81</v>
      </c>
      <c r="M766" s="142">
        <f>K766</f>
        <v>4</v>
      </c>
      <c r="N766" s="104" t="s">
        <v>81</v>
      </c>
      <c r="O766" s="120">
        <v>0.5</v>
      </c>
      <c r="P766" s="104" t="s">
        <v>162</v>
      </c>
      <c r="Q766" s="150">
        <f t="shared" si="214"/>
        <v>2</v>
      </c>
      <c r="R766" s="148"/>
      <c r="S766" s="150">
        <f t="shared" si="215"/>
        <v>2</v>
      </c>
      <c r="T766" s="149" t="s">
        <v>48</v>
      </c>
    </row>
    <row r="767" spans="2:20" ht="20.25" customHeight="1">
      <c r="C767" s="96"/>
      <c r="D767" s="102">
        <f t="shared" si="167"/>
        <v>767</v>
      </c>
      <c r="E767" s="106" t="s">
        <v>165</v>
      </c>
      <c r="F767" s="108">
        <f t="shared" si="213"/>
        <v>766</v>
      </c>
      <c r="G767" s="105" t="s">
        <v>44</v>
      </c>
      <c r="H767" s="105"/>
      <c r="I767" s="104">
        <v>30</v>
      </c>
      <c r="J767" s="104"/>
      <c r="K767" s="118">
        <v>2</v>
      </c>
      <c r="L767" s="118" t="s">
        <v>81</v>
      </c>
      <c r="M767" s="142">
        <f>K767</f>
        <v>2</v>
      </c>
      <c r="N767" s="104" t="s">
        <v>81</v>
      </c>
      <c r="O767" s="120">
        <v>0.5</v>
      </c>
      <c r="P767" s="104" t="s">
        <v>162</v>
      </c>
      <c r="Q767" s="150">
        <f t="shared" si="214"/>
        <v>1</v>
      </c>
      <c r="R767" s="148"/>
      <c r="S767" s="150">
        <f t="shared" si="215"/>
        <v>1</v>
      </c>
      <c r="T767" s="149" t="s">
        <v>48</v>
      </c>
    </row>
    <row r="768" spans="2:20" ht="20.25" customHeight="1">
      <c r="C768" s="96"/>
      <c r="D768" s="102">
        <f t="shared" si="167"/>
        <v>768</v>
      </c>
      <c r="E768" s="106" t="s">
        <v>166</v>
      </c>
      <c r="F768" s="108">
        <f t="shared" si="213"/>
        <v>767</v>
      </c>
      <c r="G768" s="105" t="s">
        <v>52</v>
      </c>
      <c r="H768" s="105"/>
      <c r="I768" s="104"/>
      <c r="J768" s="104"/>
      <c r="K768" s="118">
        <v>6</v>
      </c>
      <c r="L768" s="118" t="s">
        <v>81</v>
      </c>
      <c r="M768" s="142">
        <f>K768</f>
        <v>6</v>
      </c>
      <c r="N768" s="104" t="s">
        <v>81</v>
      </c>
      <c r="O768" s="120">
        <v>0.5</v>
      </c>
      <c r="P768" s="104" t="s">
        <v>162</v>
      </c>
      <c r="Q768" s="150">
        <f t="shared" si="214"/>
        <v>3</v>
      </c>
      <c r="R768" s="148"/>
      <c r="S768" s="150">
        <f t="shared" si="215"/>
        <v>3</v>
      </c>
      <c r="T768" s="149" t="s">
        <v>48</v>
      </c>
    </row>
    <row r="769" spans="2:20" ht="20.25" customHeight="1">
      <c r="C769" s="96"/>
      <c r="D769" s="102">
        <f t="shared" si="167"/>
        <v>769</v>
      </c>
      <c r="E769" s="106" t="s">
        <v>167</v>
      </c>
      <c r="F769" s="108">
        <f t="shared" si="213"/>
        <v>768</v>
      </c>
      <c r="G769" s="105" t="s">
        <v>52</v>
      </c>
      <c r="H769" s="105"/>
      <c r="I769" s="104"/>
      <c r="J769" s="104"/>
      <c r="K769" s="118">
        <v>4</v>
      </c>
      <c r="L769" s="118" t="s">
        <v>81</v>
      </c>
      <c r="M769" s="142">
        <f t="shared" ref="M769:M776" si="216">K769</f>
        <v>4</v>
      </c>
      <c r="N769" s="104" t="s">
        <v>81</v>
      </c>
      <c r="O769" s="120">
        <v>0.5</v>
      </c>
      <c r="P769" s="104" t="s">
        <v>162</v>
      </c>
      <c r="Q769" s="150">
        <f t="shared" si="214"/>
        <v>2</v>
      </c>
      <c r="R769" s="148"/>
      <c r="S769" s="150">
        <f t="shared" si="215"/>
        <v>2</v>
      </c>
      <c r="T769" s="149" t="s">
        <v>48</v>
      </c>
    </row>
    <row r="770" spans="2:20" ht="20.25" customHeight="1">
      <c r="C770" s="96"/>
      <c r="D770" s="102">
        <f t="shared" si="167"/>
        <v>770</v>
      </c>
      <c r="E770" s="106" t="s">
        <v>168</v>
      </c>
      <c r="F770" s="108">
        <f t="shared" si="213"/>
        <v>769</v>
      </c>
      <c r="G770" s="105" t="s">
        <v>44</v>
      </c>
      <c r="H770" s="105"/>
      <c r="I770" s="104"/>
      <c r="J770" s="104"/>
      <c r="K770" s="118">
        <v>6</v>
      </c>
      <c r="L770" s="118" t="s">
        <v>81</v>
      </c>
      <c r="M770" s="142">
        <f t="shared" si="216"/>
        <v>6</v>
      </c>
      <c r="N770" s="104" t="s">
        <v>81</v>
      </c>
      <c r="O770" s="120">
        <v>0.5</v>
      </c>
      <c r="P770" s="104" t="s">
        <v>162</v>
      </c>
      <c r="Q770" s="150">
        <f t="shared" si="214"/>
        <v>3</v>
      </c>
      <c r="R770" s="148"/>
      <c r="S770" s="150">
        <f t="shared" si="215"/>
        <v>3</v>
      </c>
      <c r="T770" s="149" t="s">
        <v>48</v>
      </c>
    </row>
    <row r="771" spans="2:20" ht="20.25" customHeight="1">
      <c r="C771" s="96"/>
      <c r="D771" s="102">
        <f t="shared" si="167"/>
        <v>771</v>
      </c>
      <c r="E771" s="106" t="s">
        <v>169</v>
      </c>
      <c r="F771" s="108">
        <f t="shared" si="213"/>
        <v>770</v>
      </c>
      <c r="G771" s="105" t="s">
        <v>61</v>
      </c>
      <c r="H771" s="105"/>
      <c r="I771" s="104"/>
      <c r="J771" s="104"/>
      <c r="K771" s="118">
        <v>10</v>
      </c>
      <c r="L771" s="118" t="s">
        <v>81</v>
      </c>
      <c r="M771" s="142">
        <f t="shared" si="216"/>
        <v>10</v>
      </c>
      <c r="N771" s="104" t="s">
        <v>81</v>
      </c>
      <c r="O771" s="120">
        <v>0.5</v>
      </c>
      <c r="P771" s="104" t="s">
        <v>162</v>
      </c>
      <c r="Q771" s="150">
        <f t="shared" si="214"/>
        <v>5</v>
      </c>
      <c r="R771" s="148"/>
      <c r="S771" s="150">
        <f t="shared" si="215"/>
        <v>5</v>
      </c>
      <c r="T771" s="149" t="s">
        <v>48</v>
      </c>
    </row>
    <row r="772" spans="2:20" ht="20.25" customHeight="1">
      <c r="C772" s="96"/>
      <c r="D772" s="102">
        <f t="shared" ref="D772:D835" si="217">D771+1</f>
        <v>772</v>
      </c>
      <c r="E772" s="106" t="s">
        <v>170</v>
      </c>
      <c r="F772" s="108">
        <f t="shared" si="213"/>
        <v>771</v>
      </c>
      <c r="G772" s="105" t="s">
        <v>61</v>
      </c>
      <c r="H772" s="105"/>
      <c r="I772" s="104"/>
      <c r="J772" s="104"/>
      <c r="K772" s="118">
        <v>2</v>
      </c>
      <c r="L772" s="118" t="s">
        <v>81</v>
      </c>
      <c r="M772" s="142">
        <f t="shared" si="216"/>
        <v>2</v>
      </c>
      <c r="N772" s="104" t="s">
        <v>81</v>
      </c>
      <c r="O772" s="120">
        <v>0.5</v>
      </c>
      <c r="P772" s="104" t="s">
        <v>162</v>
      </c>
      <c r="Q772" s="150">
        <f t="shared" si="214"/>
        <v>1</v>
      </c>
      <c r="R772" s="148"/>
      <c r="S772" s="150">
        <f t="shared" si="215"/>
        <v>1</v>
      </c>
      <c r="T772" s="149" t="s">
        <v>48</v>
      </c>
    </row>
    <row r="773" spans="2:20" ht="20.25" customHeight="1">
      <c r="C773" s="96"/>
      <c r="D773" s="102">
        <f t="shared" si="217"/>
        <v>773</v>
      </c>
      <c r="E773" s="106" t="s">
        <v>171</v>
      </c>
      <c r="F773" s="108">
        <f t="shared" si="213"/>
        <v>772</v>
      </c>
      <c r="G773" s="105" t="s">
        <v>172</v>
      </c>
      <c r="H773" s="105"/>
      <c r="I773" s="104"/>
      <c r="J773" s="104"/>
      <c r="K773" s="118">
        <v>2</v>
      </c>
      <c r="L773" s="118" t="s">
        <v>81</v>
      </c>
      <c r="M773" s="142">
        <f t="shared" si="216"/>
        <v>2</v>
      </c>
      <c r="N773" s="104" t="s">
        <v>81</v>
      </c>
      <c r="O773" s="120">
        <v>0.5</v>
      </c>
      <c r="P773" s="104" t="s">
        <v>162</v>
      </c>
      <c r="Q773" s="150">
        <f t="shared" si="214"/>
        <v>1</v>
      </c>
      <c r="R773" s="148"/>
      <c r="S773" s="150">
        <f t="shared" si="215"/>
        <v>1</v>
      </c>
      <c r="T773" s="149" t="s">
        <v>48</v>
      </c>
    </row>
    <row r="774" spans="2:20" ht="20.25" customHeight="1">
      <c r="C774" s="96"/>
      <c r="D774" s="102">
        <f t="shared" si="217"/>
        <v>774</v>
      </c>
      <c r="E774" s="106" t="s">
        <v>173</v>
      </c>
      <c r="F774" s="108">
        <f t="shared" si="213"/>
        <v>773</v>
      </c>
      <c r="G774" s="105" t="s">
        <v>115</v>
      </c>
      <c r="H774" s="105"/>
      <c r="I774" s="104"/>
      <c r="J774" s="104"/>
      <c r="K774" s="118">
        <v>2</v>
      </c>
      <c r="L774" s="118" t="s">
        <v>81</v>
      </c>
      <c r="M774" s="142">
        <f t="shared" si="216"/>
        <v>2</v>
      </c>
      <c r="N774" s="104" t="s">
        <v>81</v>
      </c>
      <c r="O774" s="120">
        <v>0.5</v>
      </c>
      <c r="P774" s="104" t="s">
        <v>162</v>
      </c>
      <c r="Q774" s="150">
        <f t="shared" si="214"/>
        <v>1</v>
      </c>
      <c r="R774" s="148"/>
      <c r="S774" s="150">
        <f t="shared" si="215"/>
        <v>1</v>
      </c>
      <c r="T774" s="149" t="s">
        <v>48</v>
      </c>
    </row>
    <row r="775" spans="2:20" ht="20.25" customHeight="1">
      <c r="C775" s="96"/>
      <c r="D775" s="102">
        <f t="shared" si="217"/>
        <v>775</v>
      </c>
      <c r="E775" s="106" t="s">
        <v>174</v>
      </c>
      <c r="F775" s="108">
        <f t="shared" si="213"/>
        <v>774</v>
      </c>
      <c r="G775" s="105" t="s">
        <v>115</v>
      </c>
      <c r="H775" s="105"/>
      <c r="I775" s="104"/>
      <c r="J775" s="104"/>
      <c r="K775" s="118">
        <v>2</v>
      </c>
      <c r="L775" s="118" t="s">
        <v>81</v>
      </c>
      <c r="M775" s="142">
        <f t="shared" si="216"/>
        <v>2</v>
      </c>
      <c r="N775" s="104" t="s">
        <v>81</v>
      </c>
      <c r="O775" s="120">
        <v>0.5</v>
      </c>
      <c r="P775" s="104" t="s">
        <v>162</v>
      </c>
      <c r="Q775" s="150">
        <f t="shared" si="214"/>
        <v>1</v>
      </c>
      <c r="R775" s="148"/>
      <c r="S775" s="150">
        <f t="shared" si="215"/>
        <v>1</v>
      </c>
      <c r="T775" s="149" t="s">
        <v>48</v>
      </c>
    </row>
    <row r="776" spans="2:20" ht="20.25" customHeight="1">
      <c r="C776" s="96"/>
      <c r="D776" s="102">
        <f t="shared" si="217"/>
        <v>776</v>
      </c>
      <c r="E776" s="106" t="s">
        <v>175</v>
      </c>
      <c r="F776" s="108">
        <f t="shared" si="213"/>
        <v>775</v>
      </c>
      <c r="G776" s="105" t="s">
        <v>44</v>
      </c>
      <c r="H776" s="105"/>
      <c r="I776" s="104"/>
      <c r="J776" s="104"/>
      <c r="K776" s="118">
        <v>4</v>
      </c>
      <c r="L776" s="118" t="s">
        <v>81</v>
      </c>
      <c r="M776" s="142">
        <f t="shared" si="216"/>
        <v>4</v>
      </c>
      <c r="N776" s="104" t="s">
        <v>81</v>
      </c>
      <c r="O776" s="120">
        <v>0.5</v>
      </c>
      <c r="P776" s="104" t="s">
        <v>162</v>
      </c>
      <c r="Q776" s="150">
        <f t="shared" si="214"/>
        <v>2</v>
      </c>
      <c r="R776" s="148"/>
      <c r="S776" s="150">
        <f t="shared" si="215"/>
        <v>2</v>
      </c>
      <c r="T776" s="149" t="s">
        <v>48</v>
      </c>
    </row>
    <row r="777" spans="2:20" ht="20.25" customHeight="1">
      <c r="B777" s="111"/>
      <c r="C777" s="96">
        <f>D777</f>
        <v>777</v>
      </c>
      <c r="D777" s="102">
        <f t="shared" si="217"/>
        <v>777</v>
      </c>
      <c r="E777" s="103" t="s">
        <v>176</v>
      </c>
      <c r="F777" s="108">
        <f>D762</f>
        <v>762</v>
      </c>
      <c r="G777" s="105"/>
      <c r="H777" s="105"/>
      <c r="I777" s="104"/>
      <c r="J777" s="104"/>
      <c r="K777" s="118"/>
      <c r="L777" s="118"/>
      <c r="M777" s="119"/>
      <c r="N777" s="104"/>
      <c r="O777" s="120"/>
      <c r="P777" s="104"/>
      <c r="Q777" s="150"/>
      <c r="R777" s="148"/>
      <c r="S777" s="150"/>
      <c r="T777" s="149"/>
    </row>
    <row r="778" spans="2:20" ht="20.25" customHeight="1">
      <c r="C778" s="96"/>
      <c r="D778" s="102">
        <f t="shared" si="217"/>
        <v>778</v>
      </c>
      <c r="E778" s="106" t="s">
        <v>135</v>
      </c>
      <c r="F778" s="108">
        <f t="shared" ref="F778:F781" si="218">D777</f>
        <v>777</v>
      </c>
      <c r="G778" s="105"/>
      <c r="H778" s="105"/>
      <c r="I778" s="104"/>
      <c r="J778" s="104"/>
      <c r="K778" s="118">
        <v>1</v>
      </c>
      <c r="L778" s="118" t="s">
        <v>160</v>
      </c>
      <c r="M778" s="119">
        <v>1</v>
      </c>
      <c r="N778" s="104" t="s">
        <v>160</v>
      </c>
      <c r="O778" s="120">
        <v>4</v>
      </c>
      <c r="P778" s="104" t="s">
        <v>177</v>
      </c>
      <c r="Q778" s="150">
        <f t="shared" ref="Q778:Q781" si="219">M778*O778</f>
        <v>4</v>
      </c>
      <c r="R778" s="148"/>
      <c r="S778" s="150">
        <f t="shared" ref="S778:S781" si="220">Q778+R778</f>
        <v>4</v>
      </c>
      <c r="T778" s="149" t="s">
        <v>42</v>
      </c>
    </row>
    <row r="779" spans="2:20" ht="20.25" customHeight="1">
      <c r="C779" s="96"/>
      <c r="D779" s="102">
        <f t="shared" si="217"/>
        <v>779</v>
      </c>
      <c r="E779" s="106" t="s">
        <v>178</v>
      </c>
      <c r="F779" s="108">
        <f t="shared" si="218"/>
        <v>778</v>
      </c>
      <c r="G779" s="105" t="s">
        <v>44</v>
      </c>
      <c r="H779" s="105"/>
      <c r="I779" s="104">
        <v>18</v>
      </c>
      <c r="J779" s="104"/>
      <c r="K779" s="118">
        <v>4</v>
      </c>
      <c r="L779" s="118" t="s">
        <v>81</v>
      </c>
      <c r="M779" s="142">
        <f t="shared" ref="M779:M781" si="221">K779</f>
        <v>4</v>
      </c>
      <c r="N779" s="104" t="s">
        <v>81</v>
      </c>
      <c r="O779" s="120">
        <v>0.5</v>
      </c>
      <c r="P779" s="104" t="s">
        <v>162</v>
      </c>
      <c r="Q779" s="150">
        <f t="shared" si="219"/>
        <v>2</v>
      </c>
      <c r="R779" s="148"/>
      <c r="S779" s="150">
        <f t="shared" si="220"/>
        <v>2</v>
      </c>
      <c r="T779" s="149" t="s">
        <v>48</v>
      </c>
    </row>
    <row r="780" spans="2:20" ht="20.25" customHeight="1">
      <c r="C780" s="96"/>
      <c r="D780" s="102">
        <f t="shared" si="217"/>
        <v>780</v>
      </c>
      <c r="E780" s="106" t="s">
        <v>179</v>
      </c>
      <c r="F780" s="108">
        <f t="shared" si="218"/>
        <v>779</v>
      </c>
      <c r="G780" s="105" t="s">
        <v>52</v>
      </c>
      <c r="H780" s="105"/>
      <c r="I780" s="104"/>
      <c r="J780" s="104"/>
      <c r="K780" s="118">
        <v>4</v>
      </c>
      <c r="L780" s="118" t="s">
        <v>81</v>
      </c>
      <c r="M780" s="142">
        <f t="shared" si="221"/>
        <v>4</v>
      </c>
      <c r="N780" s="104" t="s">
        <v>81</v>
      </c>
      <c r="O780" s="120">
        <v>0.5</v>
      </c>
      <c r="P780" s="104" t="s">
        <v>162</v>
      </c>
      <c r="Q780" s="150">
        <f t="shared" si="219"/>
        <v>2</v>
      </c>
      <c r="R780" s="148"/>
      <c r="S780" s="150">
        <f t="shared" si="220"/>
        <v>2</v>
      </c>
      <c r="T780" s="149" t="s">
        <v>48</v>
      </c>
    </row>
    <row r="781" spans="2:20" ht="20.25" customHeight="1">
      <c r="C781" s="96"/>
      <c r="D781" s="102">
        <f t="shared" si="217"/>
        <v>781</v>
      </c>
      <c r="E781" s="106" t="s">
        <v>180</v>
      </c>
      <c r="F781" s="108">
        <f t="shared" si="218"/>
        <v>780</v>
      </c>
      <c r="G781" s="105" t="s">
        <v>121</v>
      </c>
      <c r="H781" s="105"/>
      <c r="I781" s="104"/>
      <c r="J781" s="104"/>
      <c r="K781" s="118">
        <v>4</v>
      </c>
      <c r="L781" s="118" t="s">
        <v>81</v>
      </c>
      <c r="M781" s="142">
        <f t="shared" si="221"/>
        <v>4</v>
      </c>
      <c r="N781" s="104" t="s">
        <v>81</v>
      </c>
      <c r="O781" s="120">
        <v>0.5</v>
      </c>
      <c r="P781" s="104" t="s">
        <v>162</v>
      </c>
      <c r="Q781" s="150">
        <f t="shared" si="219"/>
        <v>2</v>
      </c>
      <c r="R781" s="148"/>
      <c r="S781" s="150">
        <f t="shared" si="220"/>
        <v>2</v>
      </c>
      <c r="T781" s="149" t="s">
        <v>48</v>
      </c>
    </row>
    <row r="782" spans="2:20" ht="20.25" customHeight="1">
      <c r="B782" s="111"/>
      <c r="C782" s="96">
        <f>D782</f>
        <v>782</v>
      </c>
      <c r="D782" s="102">
        <f t="shared" si="217"/>
        <v>782</v>
      </c>
      <c r="E782" s="103" t="s">
        <v>181</v>
      </c>
      <c r="F782" s="108">
        <f>D777</f>
        <v>777</v>
      </c>
      <c r="G782" s="105"/>
      <c r="H782" s="105"/>
      <c r="I782" s="104"/>
      <c r="J782" s="104"/>
      <c r="K782" s="118"/>
      <c r="L782" s="118"/>
      <c r="M782" s="119"/>
      <c r="N782" s="104"/>
      <c r="O782" s="120"/>
      <c r="P782" s="104"/>
      <c r="Q782" s="150"/>
      <c r="R782" s="148"/>
      <c r="S782" s="150"/>
      <c r="T782" s="149"/>
    </row>
    <row r="783" spans="2:20" ht="20.25" customHeight="1">
      <c r="C783" s="96"/>
      <c r="D783" s="102">
        <f t="shared" si="217"/>
        <v>783</v>
      </c>
      <c r="E783" s="106" t="s">
        <v>182</v>
      </c>
      <c r="F783" s="108">
        <f t="shared" ref="F783:F786" si="222">D782</f>
        <v>782</v>
      </c>
      <c r="G783" s="105" t="s">
        <v>44</v>
      </c>
      <c r="H783" s="105"/>
      <c r="I783" s="104">
        <v>24</v>
      </c>
      <c r="J783" s="104"/>
      <c r="K783" s="118">
        <v>1</v>
      </c>
      <c r="L783" s="118" t="s">
        <v>160</v>
      </c>
      <c r="M783" s="119">
        <v>1</v>
      </c>
      <c r="N783" s="104" t="s">
        <v>160</v>
      </c>
      <c r="O783" s="120">
        <v>4</v>
      </c>
      <c r="P783" s="104" t="s">
        <v>177</v>
      </c>
      <c r="Q783" s="150">
        <f t="shared" ref="Q783:Q786" si="223">M783*O783</f>
        <v>4</v>
      </c>
      <c r="R783" s="148"/>
      <c r="S783" s="150">
        <f t="shared" ref="S783:S786" si="224">Q783+R783</f>
        <v>4</v>
      </c>
      <c r="T783" s="149" t="s">
        <v>42</v>
      </c>
    </row>
    <row r="784" spans="2:20" ht="20.25" customHeight="1">
      <c r="C784" s="96"/>
      <c r="D784" s="102">
        <f t="shared" si="217"/>
        <v>784</v>
      </c>
      <c r="E784" s="106" t="s">
        <v>183</v>
      </c>
      <c r="F784" s="108">
        <f t="shared" si="222"/>
        <v>783</v>
      </c>
      <c r="G784" s="105" t="s">
        <v>52</v>
      </c>
      <c r="H784" s="105"/>
      <c r="I784" s="104"/>
      <c r="J784" s="104"/>
      <c r="K784" s="118">
        <v>4</v>
      </c>
      <c r="L784" s="118" t="s">
        <v>81</v>
      </c>
      <c r="M784" s="142">
        <f t="shared" ref="M784:M786" si="225">K784</f>
        <v>4</v>
      </c>
      <c r="N784" s="104" t="s">
        <v>81</v>
      </c>
      <c r="O784" s="120">
        <v>0.5</v>
      </c>
      <c r="P784" s="104" t="s">
        <v>162</v>
      </c>
      <c r="Q784" s="150">
        <f t="shared" si="223"/>
        <v>2</v>
      </c>
      <c r="R784" s="148"/>
      <c r="S784" s="150">
        <f t="shared" si="224"/>
        <v>2</v>
      </c>
      <c r="T784" s="149" t="s">
        <v>48</v>
      </c>
    </row>
    <row r="785" spans="2:20" ht="20.25" customHeight="1">
      <c r="C785" s="96"/>
      <c r="D785" s="102">
        <f t="shared" si="217"/>
        <v>785</v>
      </c>
      <c r="E785" s="106" t="s">
        <v>184</v>
      </c>
      <c r="F785" s="108">
        <f t="shared" si="222"/>
        <v>784</v>
      </c>
      <c r="G785" s="105" t="s">
        <v>121</v>
      </c>
      <c r="H785" s="105"/>
      <c r="I785" s="104"/>
      <c r="J785" s="104"/>
      <c r="K785" s="118">
        <v>4</v>
      </c>
      <c r="L785" s="118" t="s">
        <v>81</v>
      </c>
      <c r="M785" s="142">
        <f t="shared" si="225"/>
        <v>4</v>
      </c>
      <c r="N785" s="104" t="s">
        <v>81</v>
      </c>
      <c r="O785" s="120">
        <v>0.5</v>
      </c>
      <c r="P785" s="104" t="s">
        <v>162</v>
      </c>
      <c r="Q785" s="150">
        <f t="shared" si="223"/>
        <v>2</v>
      </c>
      <c r="R785" s="148"/>
      <c r="S785" s="150">
        <f t="shared" si="224"/>
        <v>2</v>
      </c>
      <c r="T785" s="149" t="s">
        <v>48</v>
      </c>
    </row>
    <row r="786" spans="2:20" ht="20.25" customHeight="1">
      <c r="C786" s="96"/>
      <c r="D786" s="102">
        <f t="shared" si="217"/>
        <v>786</v>
      </c>
      <c r="E786" s="106" t="s">
        <v>185</v>
      </c>
      <c r="F786" s="108">
        <f t="shared" si="222"/>
        <v>785</v>
      </c>
      <c r="G786" s="105" t="s">
        <v>44</v>
      </c>
      <c r="H786" s="105"/>
      <c r="I786" s="104"/>
      <c r="J786" s="104"/>
      <c r="K786" s="118">
        <v>4</v>
      </c>
      <c r="L786" s="118" t="s">
        <v>81</v>
      </c>
      <c r="M786" s="142">
        <f t="shared" si="225"/>
        <v>4</v>
      </c>
      <c r="N786" s="104" t="s">
        <v>81</v>
      </c>
      <c r="O786" s="120">
        <v>0.5</v>
      </c>
      <c r="P786" s="104" t="s">
        <v>162</v>
      </c>
      <c r="Q786" s="150">
        <f t="shared" si="223"/>
        <v>2</v>
      </c>
      <c r="R786" s="148"/>
      <c r="S786" s="150">
        <f t="shared" si="224"/>
        <v>2</v>
      </c>
      <c r="T786" s="149" t="s">
        <v>48</v>
      </c>
    </row>
    <row r="787" spans="2:20" ht="20.25" customHeight="1">
      <c r="B787" s="111"/>
      <c r="C787" s="96">
        <f>D787</f>
        <v>787</v>
      </c>
      <c r="D787" s="102">
        <f t="shared" si="217"/>
        <v>787</v>
      </c>
      <c r="E787" s="103" t="s">
        <v>749</v>
      </c>
      <c r="F787" s="108">
        <f>D782</f>
        <v>782</v>
      </c>
      <c r="G787" s="105"/>
      <c r="H787" s="105"/>
      <c r="I787" s="104"/>
      <c r="J787" s="104"/>
      <c r="K787" s="118"/>
      <c r="L787" s="118"/>
      <c r="M787" s="119"/>
      <c r="N787" s="104"/>
      <c r="O787" s="120"/>
      <c r="P787" s="104"/>
      <c r="Q787" s="150"/>
      <c r="R787" s="148"/>
      <c r="S787" s="150"/>
      <c r="T787" s="149"/>
    </row>
    <row r="788" spans="2:20" ht="20.25" customHeight="1">
      <c r="C788" s="96"/>
      <c r="D788" s="102">
        <f t="shared" si="217"/>
        <v>788</v>
      </c>
      <c r="E788" s="106" t="s">
        <v>187</v>
      </c>
      <c r="F788" s="108">
        <f t="shared" ref="F788:F789" si="226">D787</f>
        <v>787</v>
      </c>
      <c r="G788" s="105" t="s">
        <v>44</v>
      </c>
      <c r="H788" s="105"/>
      <c r="I788" s="104"/>
      <c r="J788" s="104"/>
      <c r="K788" s="118">
        <v>4</v>
      </c>
      <c r="L788" s="118" t="s">
        <v>81</v>
      </c>
      <c r="M788" s="142">
        <f t="shared" ref="M788:M789" si="227">K788</f>
        <v>4</v>
      </c>
      <c r="N788" s="104" t="s">
        <v>81</v>
      </c>
      <c r="O788" s="120">
        <v>1</v>
      </c>
      <c r="P788" s="104" t="s">
        <v>162</v>
      </c>
      <c r="Q788" s="150">
        <f t="shared" ref="Q788:Q789" si="228">M788*O788</f>
        <v>4</v>
      </c>
      <c r="R788" s="148"/>
      <c r="S788" s="150">
        <f t="shared" ref="S788:S789" si="229">Q788+R788</f>
        <v>4</v>
      </c>
      <c r="T788" s="149" t="s">
        <v>42</v>
      </c>
    </row>
    <row r="789" spans="2:20" ht="20.25" customHeight="1">
      <c r="C789" s="96"/>
      <c r="D789" s="102">
        <f t="shared" si="217"/>
        <v>789</v>
      </c>
      <c r="E789" s="106" t="s">
        <v>188</v>
      </c>
      <c r="F789" s="108">
        <f t="shared" si="226"/>
        <v>788</v>
      </c>
      <c r="G789" s="105" t="s">
        <v>44</v>
      </c>
      <c r="H789" s="105"/>
      <c r="I789" s="104"/>
      <c r="J789" s="104"/>
      <c r="K789" s="118">
        <v>4</v>
      </c>
      <c r="L789" s="118" t="s">
        <v>81</v>
      </c>
      <c r="M789" s="142">
        <f t="shared" si="227"/>
        <v>4</v>
      </c>
      <c r="N789" s="104" t="s">
        <v>81</v>
      </c>
      <c r="O789" s="120">
        <v>1</v>
      </c>
      <c r="P789" s="104" t="s">
        <v>162</v>
      </c>
      <c r="Q789" s="150">
        <f t="shared" si="228"/>
        <v>4</v>
      </c>
      <c r="R789" s="148"/>
      <c r="S789" s="150">
        <f t="shared" si="229"/>
        <v>4</v>
      </c>
      <c r="T789" s="149" t="s">
        <v>42</v>
      </c>
    </row>
    <row r="790" spans="2:20" ht="20.25" customHeight="1">
      <c r="B790" s="111"/>
      <c r="C790" s="96">
        <f>D790</f>
        <v>790</v>
      </c>
      <c r="D790" s="102">
        <f t="shared" si="217"/>
        <v>790</v>
      </c>
      <c r="E790" s="103" t="s">
        <v>189</v>
      </c>
      <c r="F790" s="108">
        <f>D787</f>
        <v>787</v>
      </c>
      <c r="G790" s="105"/>
      <c r="H790" s="105"/>
      <c r="I790" s="104"/>
      <c r="J790" s="104"/>
      <c r="K790" s="118"/>
      <c r="L790" s="118"/>
      <c r="M790" s="119"/>
      <c r="N790" s="104"/>
      <c r="O790" s="120"/>
      <c r="P790" s="104"/>
      <c r="Q790" s="150"/>
      <c r="R790" s="148"/>
      <c r="S790" s="150"/>
      <c r="T790" s="149"/>
    </row>
    <row r="791" spans="2:20" ht="20.25" customHeight="1">
      <c r="B791" s="111"/>
      <c r="C791" s="96"/>
      <c r="D791" s="102">
        <f t="shared" si="217"/>
        <v>791</v>
      </c>
      <c r="E791" s="106" t="s">
        <v>190</v>
      </c>
      <c r="F791" s="108">
        <f t="shared" ref="F791:F799" si="230">D790</f>
        <v>790</v>
      </c>
      <c r="G791" s="105" t="s">
        <v>44</v>
      </c>
      <c r="H791" s="105"/>
      <c r="I791" s="104">
        <v>12</v>
      </c>
      <c r="J791" s="104"/>
      <c r="K791" s="118">
        <v>1</v>
      </c>
      <c r="L791" s="118" t="s">
        <v>81</v>
      </c>
      <c r="M791" s="142">
        <f t="shared" ref="M791:M794" si="231">K791</f>
        <v>1</v>
      </c>
      <c r="N791" s="104" t="s">
        <v>81</v>
      </c>
      <c r="O791" s="120">
        <v>4</v>
      </c>
      <c r="P791" s="104" t="s">
        <v>162</v>
      </c>
      <c r="Q791" s="150">
        <f t="shared" ref="Q791:Q794" si="232">M791*O791</f>
        <v>4</v>
      </c>
      <c r="R791" s="148"/>
      <c r="S791" s="150">
        <f t="shared" ref="S791:S794" si="233">Q791+R791</f>
        <v>4</v>
      </c>
      <c r="T791" s="149" t="s">
        <v>48</v>
      </c>
    </row>
    <row r="792" spans="2:20" ht="20.25" customHeight="1">
      <c r="C792" s="96"/>
      <c r="D792" s="102">
        <f t="shared" si="217"/>
        <v>792</v>
      </c>
      <c r="E792" s="106" t="s">
        <v>191</v>
      </c>
      <c r="F792" s="108">
        <f t="shared" si="230"/>
        <v>791</v>
      </c>
      <c r="G792" s="105" t="s">
        <v>52</v>
      </c>
      <c r="H792" s="105"/>
      <c r="I792" s="104"/>
      <c r="J792" s="104"/>
      <c r="K792" s="118">
        <v>1</v>
      </c>
      <c r="L792" s="118" t="s">
        <v>81</v>
      </c>
      <c r="M792" s="142">
        <f t="shared" si="231"/>
        <v>1</v>
      </c>
      <c r="N792" s="104" t="s">
        <v>81</v>
      </c>
      <c r="O792" s="120">
        <v>4</v>
      </c>
      <c r="P792" s="104" t="s">
        <v>162</v>
      </c>
      <c r="Q792" s="150">
        <f t="shared" si="232"/>
        <v>4</v>
      </c>
      <c r="R792" s="148"/>
      <c r="S792" s="150">
        <f t="shared" si="233"/>
        <v>4</v>
      </c>
      <c r="T792" s="149" t="s">
        <v>48</v>
      </c>
    </row>
    <row r="793" spans="2:20" ht="20.25" customHeight="1">
      <c r="C793" s="96"/>
      <c r="D793" s="102">
        <f t="shared" si="217"/>
        <v>793</v>
      </c>
      <c r="E793" s="106" t="s">
        <v>192</v>
      </c>
      <c r="F793" s="108">
        <f t="shared" si="230"/>
        <v>792</v>
      </c>
      <c r="G793" s="105" t="s">
        <v>44</v>
      </c>
      <c r="H793" s="105"/>
      <c r="I793" s="104"/>
      <c r="J793" s="104"/>
      <c r="K793" s="118">
        <v>1</v>
      </c>
      <c r="L793" s="118" t="s">
        <v>81</v>
      </c>
      <c r="M793" s="142">
        <f t="shared" si="231"/>
        <v>1</v>
      </c>
      <c r="N793" s="104" t="s">
        <v>81</v>
      </c>
      <c r="O793" s="120">
        <v>2</v>
      </c>
      <c r="P793" s="104" t="s">
        <v>162</v>
      </c>
      <c r="Q793" s="150">
        <f t="shared" si="232"/>
        <v>2</v>
      </c>
      <c r="R793" s="148"/>
      <c r="S793" s="150">
        <f t="shared" si="233"/>
        <v>2</v>
      </c>
      <c r="T793" s="149" t="s">
        <v>48</v>
      </c>
    </row>
    <row r="794" spans="2:20" ht="20.25" customHeight="1">
      <c r="C794" s="96"/>
      <c r="D794" s="102">
        <f t="shared" si="217"/>
        <v>794</v>
      </c>
      <c r="E794" s="106" t="s">
        <v>193</v>
      </c>
      <c r="F794" s="108">
        <f t="shared" si="230"/>
        <v>793</v>
      </c>
      <c r="G794" s="105" t="s">
        <v>44</v>
      </c>
      <c r="H794" s="105"/>
      <c r="I794" s="104"/>
      <c r="J794" s="104"/>
      <c r="K794" s="118">
        <v>1</v>
      </c>
      <c r="L794" s="118" t="s">
        <v>81</v>
      </c>
      <c r="M794" s="142">
        <f t="shared" si="231"/>
        <v>1</v>
      </c>
      <c r="N794" s="104" t="s">
        <v>81</v>
      </c>
      <c r="O794" s="120">
        <v>1</v>
      </c>
      <c r="P794" s="104" t="s">
        <v>162</v>
      </c>
      <c r="Q794" s="150">
        <f t="shared" si="232"/>
        <v>1</v>
      </c>
      <c r="R794" s="148"/>
      <c r="S794" s="150">
        <f t="shared" si="233"/>
        <v>1</v>
      </c>
      <c r="T794" s="149" t="s">
        <v>48</v>
      </c>
    </row>
    <row r="795" spans="2:20" ht="20.25" customHeight="1">
      <c r="B795" s="111"/>
      <c r="C795" s="96">
        <f t="shared" ref="C795:C796" si="234">D795</f>
        <v>795</v>
      </c>
      <c r="D795" s="102">
        <f t="shared" si="217"/>
        <v>795</v>
      </c>
      <c r="E795" s="163" t="s">
        <v>194</v>
      </c>
      <c r="F795" s="108">
        <f t="shared" si="230"/>
        <v>794</v>
      </c>
      <c r="G795" s="105"/>
      <c r="H795" s="105"/>
      <c r="I795" s="104"/>
      <c r="J795" s="104"/>
      <c r="K795" s="118"/>
      <c r="L795" s="118"/>
      <c r="M795" s="119"/>
      <c r="N795" s="104"/>
      <c r="O795" s="120"/>
      <c r="P795" s="104"/>
      <c r="Q795" s="150"/>
      <c r="R795" s="148"/>
      <c r="S795" s="150"/>
      <c r="T795" s="149"/>
    </row>
    <row r="796" spans="2:20" ht="20.25" customHeight="1">
      <c r="B796" s="111"/>
      <c r="C796" s="96">
        <f t="shared" si="234"/>
        <v>796</v>
      </c>
      <c r="D796" s="102">
        <f t="shared" si="217"/>
        <v>796</v>
      </c>
      <c r="E796" s="103" t="s">
        <v>195</v>
      </c>
      <c r="F796" s="108">
        <f t="shared" si="230"/>
        <v>795</v>
      </c>
      <c r="G796" s="105"/>
      <c r="H796" s="105"/>
      <c r="I796" s="104"/>
      <c r="J796" s="104"/>
      <c r="K796" s="118"/>
      <c r="L796" s="118"/>
      <c r="M796" s="119"/>
      <c r="N796" s="104"/>
      <c r="O796" s="120"/>
      <c r="P796" s="104"/>
      <c r="Q796" s="150"/>
      <c r="R796" s="148"/>
      <c r="S796" s="150"/>
      <c r="T796" s="149"/>
    </row>
    <row r="797" spans="2:20" ht="20.25" customHeight="1">
      <c r="C797" s="96"/>
      <c r="D797" s="102">
        <f t="shared" si="217"/>
        <v>797</v>
      </c>
      <c r="E797" s="106" t="s">
        <v>196</v>
      </c>
      <c r="F797" s="108">
        <f t="shared" si="230"/>
        <v>796</v>
      </c>
      <c r="G797" s="105"/>
      <c r="H797" s="105"/>
      <c r="I797" s="104"/>
      <c r="J797" s="104"/>
      <c r="K797" s="118">
        <v>1</v>
      </c>
      <c r="L797" s="118" t="s">
        <v>81</v>
      </c>
      <c r="M797" s="142">
        <f t="shared" ref="M797" si="235">K797</f>
        <v>1</v>
      </c>
      <c r="N797" s="104" t="s">
        <v>84</v>
      </c>
      <c r="O797" s="120">
        <v>4</v>
      </c>
      <c r="P797" s="104" t="s">
        <v>41</v>
      </c>
      <c r="Q797" s="150">
        <f t="shared" ref="Q797:Q799" si="236">M797*O797</f>
        <v>4</v>
      </c>
      <c r="R797" s="148"/>
      <c r="S797" s="150">
        <f t="shared" ref="S797:S799" si="237">Q797+R797</f>
        <v>4</v>
      </c>
      <c r="T797" s="149" t="s">
        <v>48</v>
      </c>
    </row>
    <row r="798" spans="2:20" ht="20.25" customHeight="1">
      <c r="C798" s="96"/>
      <c r="D798" s="102">
        <f t="shared" si="217"/>
        <v>798</v>
      </c>
      <c r="E798" s="106" t="s">
        <v>197</v>
      </c>
      <c r="F798" s="108">
        <f t="shared" si="230"/>
        <v>797</v>
      </c>
      <c r="G798" s="105" t="s">
        <v>44</v>
      </c>
      <c r="H798" s="105"/>
      <c r="I798" s="104">
        <v>14</v>
      </c>
      <c r="J798" s="104"/>
      <c r="K798" s="118">
        <v>19</v>
      </c>
      <c r="L798" s="118" t="s">
        <v>81</v>
      </c>
      <c r="M798" s="119">
        <v>1</v>
      </c>
      <c r="N798" s="104" t="s">
        <v>84</v>
      </c>
      <c r="O798" s="120">
        <v>1</v>
      </c>
      <c r="P798" s="104" t="s">
        <v>41</v>
      </c>
      <c r="Q798" s="150">
        <f t="shared" si="236"/>
        <v>1</v>
      </c>
      <c r="R798" s="148"/>
      <c r="S798" s="150">
        <f t="shared" si="237"/>
        <v>1</v>
      </c>
      <c r="T798" s="149" t="s">
        <v>48</v>
      </c>
    </row>
    <row r="799" spans="2:20" ht="20.25" customHeight="1">
      <c r="C799" s="96"/>
      <c r="D799" s="102">
        <f t="shared" si="217"/>
        <v>799</v>
      </c>
      <c r="E799" s="106" t="s">
        <v>198</v>
      </c>
      <c r="F799" s="108">
        <f t="shared" si="230"/>
        <v>798</v>
      </c>
      <c r="G799" s="105" t="s">
        <v>52</v>
      </c>
      <c r="H799" s="105"/>
      <c r="I799" s="104"/>
      <c r="J799" s="104"/>
      <c r="K799" s="118">
        <v>19</v>
      </c>
      <c r="L799" s="118" t="s">
        <v>81</v>
      </c>
      <c r="M799" s="119">
        <v>1</v>
      </c>
      <c r="N799" s="104" t="s">
        <v>84</v>
      </c>
      <c r="O799" s="120">
        <v>5</v>
      </c>
      <c r="P799" s="104" t="s">
        <v>41</v>
      </c>
      <c r="Q799" s="150">
        <f t="shared" si="236"/>
        <v>5</v>
      </c>
      <c r="R799" s="148"/>
      <c r="S799" s="150">
        <f t="shared" si="237"/>
        <v>5</v>
      </c>
      <c r="T799" s="149" t="s">
        <v>48</v>
      </c>
    </row>
    <row r="800" spans="2:20" ht="20.25" customHeight="1">
      <c r="B800" s="111"/>
      <c r="C800" s="96">
        <f>D800</f>
        <v>800</v>
      </c>
      <c r="D800" s="102">
        <f t="shared" si="217"/>
        <v>800</v>
      </c>
      <c r="E800" s="103" t="s">
        <v>199</v>
      </c>
      <c r="F800" s="108">
        <f>D796</f>
        <v>796</v>
      </c>
      <c r="G800" s="105"/>
      <c r="H800" s="105"/>
      <c r="I800" s="104"/>
      <c r="J800" s="104"/>
      <c r="K800" s="118"/>
      <c r="L800" s="118"/>
      <c r="M800" s="119"/>
      <c r="N800" s="104"/>
      <c r="O800" s="120"/>
      <c r="P800" s="104"/>
      <c r="Q800" s="150"/>
      <c r="R800" s="148"/>
      <c r="S800" s="150"/>
      <c r="T800" s="149"/>
    </row>
    <row r="801" spans="3:20" ht="20.25" customHeight="1">
      <c r="C801" s="96"/>
      <c r="D801" s="102">
        <f t="shared" si="217"/>
        <v>801</v>
      </c>
      <c r="E801" s="106" t="s">
        <v>200</v>
      </c>
      <c r="F801" s="108">
        <f t="shared" ref="F801:F802" si="238">D800</f>
        <v>800</v>
      </c>
      <c r="G801" s="105" t="s">
        <v>201</v>
      </c>
      <c r="H801" s="105"/>
      <c r="I801" s="104"/>
      <c r="J801" s="104"/>
      <c r="K801" s="118">
        <v>19</v>
      </c>
      <c r="L801" s="118" t="s">
        <v>81</v>
      </c>
      <c r="M801" s="142">
        <f t="shared" ref="M801" si="239">K801</f>
        <v>19</v>
      </c>
      <c r="N801" s="104" t="s">
        <v>81</v>
      </c>
      <c r="O801" s="120">
        <v>1</v>
      </c>
      <c r="P801" s="104" t="s">
        <v>162</v>
      </c>
      <c r="Q801" s="150">
        <f t="shared" ref="Q801:Q802" si="240">M801*O801</f>
        <v>19</v>
      </c>
      <c r="R801" s="148"/>
      <c r="S801" s="150">
        <f t="shared" ref="S801:S802" si="241">Q801+R801</f>
        <v>19</v>
      </c>
      <c r="T801" s="149" t="s">
        <v>48</v>
      </c>
    </row>
    <row r="802" spans="3:20" ht="20.25" customHeight="1">
      <c r="C802" s="96"/>
      <c r="D802" s="102">
        <f t="shared" si="217"/>
        <v>802</v>
      </c>
      <c r="E802" s="106" t="s">
        <v>202</v>
      </c>
      <c r="F802" s="108">
        <f t="shared" si="238"/>
        <v>801</v>
      </c>
      <c r="G802" s="105" t="s">
        <v>44</v>
      </c>
      <c r="H802" s="105"/>
      <c r="I802" s="104"/>
      <c r="J802" s="104" t="s">
        <v>203</v>
      </c>
      <c r="K802" s="118">
        <v>3</v>
      </c>
      <c r="L802" s="118" t="s">
        <v>81</v>
      </c>
      <c r="M802" s="142">
        <v>3</v>
      </c>
      <c r="N802" s="104" t="s">
        <v>81</v>
      </c>
      <c r="O802" s="120">
        <v>2</v>
      </c>
      <c r="P802" s="104" t="s">
        <v>162</v>
      </c>
      <c r="Q802" s="150">
        <f t="shared" si="240"/>
        <v>6</v>
      </c>
      <c r="R802" s="148"/>
      <c r="S802" s="150">
        <f t="shared" si="241"/>
        <v>6</v>
      </c>
      <c r="T802" s="149" t="s">
        <v>48</v>
      </c>
    </row>
    <row r="803" spans="3:20" ht="20.25" customHeight="1">
      <c r="C803" s="96">
        <f>D803</f>
        <v>803</v>
      </c>
      <c r="D803" s="102">
        <f t="shared" si="217"/>
        <v>803</v>
      </c>
      <c r="E803" s="103" t="s">
        <v>204</v>
      </c>
      <c r="F803" s="108">
        <f>D800</f>
        <v>800</v>
      </c>
      <c r="G803" s="105"/>
      <c r="H803" s="105"/>
      <c r="I803" s="104"/>
      <c r="J803" s="104"/>
      <c r="K803" s="118"/>
      <c r="L803" s="118"/>
      <c r="M803" s="119"/>
      <c r="N803" s="104"/>
      <c r="O803" s="120"/>
      <c r="P803" s="104"/>
      <c r="Q803" s="150"/>
      <c r="R803" s="148"/>
      <c r="S803" s="150"/>
      <c r="T803" s="149"/>
    </row>
    <row r="804" spans="3:20" ht="20.25" customHeight="1">
      <c r="C804" s="96"/>
      <c r="D804" s="102">
        <f t="shared" si="217"/>
        <v>804</v>
      </c>
      <c r="E804" s="106" t="s">
        <v>204</v>
      </c>
      <c r="F804" s="108">
        <f t="shared" ref="F804" si="242">D803</f>
        <v>803</v>
      </c>
      <c r="G804" s="105" t="s">
        <v>55</v>
      </c>
      <c r="H804" s="105"/>
      <c r="I804" s="104" t="s">
        <v>205</v>
      </c>
      <c r="J804" s="104"/>
      <c r="K804" s="118">
        <v>3</v>
      </c>
      <c r="L804" s="118" t="s">
        <v>206</v>
      </c>
      <c r="M804" s="119">
        <v>1</v>
      </c>
      <c r="N804" s="104" t="s">
        <v>84</v>
      </c>
      <c r="O804" s="120">
        <v>10</v>
      </c>
      <c r="P804" s="104" t="s">
        <v>41</v>
      </c>
      <c r="Q804" s="150">
        <f t="shared" ref="Q804" si="243">M804*O804</f>
        <v>10</v>
      </c>
      <c r="R804" s="148"/>
      <c r="S804" s="150">
        <f t="shared" ref="S804" si="244">Q804+R804</f>
        <v>10</v>
      </c>
      <c r="T804" s="149" t="s">
        <v>41</v>
      </c>
    </row>
    <row r="805" spans="3:20" ht="20.25" customHeight="1">
      <c r="C805" s="96">
        <f>D805</f>
        <v>805</v>
      </c>
      <c r="D805" s="102">
        <f t="shared" si="217"/>
        <v>805</v>
      </c>
      <c r="E805" s="103" t="s">
        <v>207</v>
      </c>
      <c r="F805" s="108">
        <f>D803</f>
        <v>803</v>
      </c>
      <c r="G805" s="105"/>
      <c r="H805" s="105"/>
      <c r="I805" s="104"/>
      <c r="J805" s="104"/>
      <c r="K805" s="118"/>
      <c r="L805" s="118"/>
      <c r="M805" s="119"/>
      <c r="N805" s="104"/>
      <c r="O805" s="120"/>
      <c r="P805" s="104"/>
      <c r="Q805" s="150"/>
      <c r="R805" s="148"/>
      <c r="S805" s="150"/>
      <c r="T805" s="149"/>
    </row>
    <row r="806" spans="3:20" ht="20.25" customHeight="1">
      <c r="C806" s="96"/>
      <c r="D806" s="102">
        <f t="shared" si="217"/>
        <v>806</v>
      </c>
      <c r="E806" s="106" t="s">
        <v>208</v>
      </c>
      <c r="F806" s="108">
        <f t="shared" ref="F806:F807" si="245">D805</f>
        <v>805</v>
      </c>
      <c r="G806" s="105" t="s">
        <v>44</v>
      </c>
      <c r="H806" s="105"/>
      <c r="I806" s="104"/>
      <c r="J806" s="104"/>
      <c r="K806" s="118">
        <v>3</v>
      </c>
      <c r="L806" s="118" t="s">
        <v>206</v>
      </c>
      <c r="M806" s="119">
        <v>4</v>
      </c>
      <c r="N806" s="104" t="s">
        <v>206</v>
      </c>
      <c r="O806" s="120">
        <v>6</v>
      </c>
      <c r="P806" s="104" t="s">
        <v>48</v>
      </c>
      <c r="Q806" s="150">
        <f t="shared" ref="Q806:Q807" si="246">M806*O806</f>
        <v>24</v>
      </c>
      <c r="R806" s="148"/>
      <c r="S806" s="150">
        <f t="shared" ref="S806" si="247">Q806+R806</f>
        <v>24</v>
      </c>
      <c r="T806" s="149" t="s">
        <v>162</v>
      </c>
    </row>
    <row r="807" spans="3:20" ht="20.25" customHeight="1">
      <c r="C807" s="96"/>
      <c r="D807" s="102">
        <f t="shared" si="217"/>
        <v>807</v>
      </c>
      <c r="E807" s="106" t="s">
        <v>209</v>
      </c>
      <c r="F807" s="108">
        <f t="shared" si="245"/>
        <v>806</v>
      </c>
      <c r="G807" s="105" t="s">
        <v>63</v>
      </c>
      <c r="H807" s="105"/>
      <c r="I807" s="104"/>
      <c r="J807" s="104"/>
      <c r="K807" s="118">
        <v>9</v>
      </c>
      <c r="L807" s="118" t="s">
        <v>81</v>
      </c>
      <c r="M807" s="142">
        <f>1308*9*2</f>
        <v>23544</v>
      </c>
      <c r="N807" s="104" t="s">
        <v>210</v>
      </c>
      <c r="O807" s="162">
        <f>1/100</f>
        <v>0.01</v>
      </c>
      <c r="P807" s="104"/>
      <c r="Q807" s="150">
        <f t="shared" si="246"/>
        <v>235.44</v>
      </c>
      <c r="R807" s="148"/>
      <c r="S807" s="150">
        <f>(Q807+R807)/16</f>
        <v>14.715</v>
      </c>
      <c r="T807" s="149" t="s">
        <v>42</v>
      </c>
    </row>
    <row r="808" spans="3:20" ht="20.25" customHeight="1">
      <c r="C808" s="96">
        <f>D808</f>
        <v>808</v>
      </c>
      <c r="D808" s="102">
        <f t="shared" si="217"/>
        <v>808</v>
      </c>
      <c r="E808" s="103" t="s">
        <v>211</v>
      </c>
      <c r="F808" s="108">
        <f>D805</f>
        <v>805</v>
      </c>
      <c r="G808" s="105"/>
      <c r="H808" s="105"/>
      <c r="I808" s="104"/>
      <c r="J808" s="104"/>
      <c r="K808" s="118"/>
      <c r="L808" s="118"/>
      <c r="M808" s="119"/>
      <c r="N808" s="104"/>
      <c r="O808" s="120"/>
      <c r="P808" s="104"/>
      <c r="Q808" s="150"/>
      <c r="R808" s="148"/>
      <c r="S808" s="150"/>
      <c r="T808" s="149"/>
    </row>
    <row r="809" spans="3:20" ht="20.25" customHeight="1">
      <c r="C809" s="96"/>
      <c r="D809" s="102">
        <f t="shared" si="217"/>
        <v>809</v>
      </c>
      <c r="E809" s="106" t="s">
        <v>212</v>
      </c>
      <c r="F809" s="108">
        <f t="shared" ref="F809:F813" si="248">D808</f>
        <v>808</v>
      </c>
      <c r="G809" s="105" t="s">
        <v>44</v>
      </c>
      <c r="H809" s="105"/>
      <c r="I809" s="104"/>
      <c r="J809" s="104"/>
      <c r="K809" s="118">
        <v>3</v>
      </c>
      <c r="L809" s="118" t="s">
        <v>81</v>
      </c>
      <c r="M809" s="142">
        <f t="shared" ref="M809" si="249">K809</f>
        <v>3</v>
      </c>
      <c r="N809" s="104" t="s">
        <v>81</v>
      </c>
      <c r="O809" s="120">
        <v>0.25</v>
      </c>
      <c r="P809" s="104" t="s">
        <v>162</v>
      </c>
      <c r="Q809" s="150">
        <f t="shared" ref="Q809:Q813" si="250">M809*O809</f>
        <v>0.75</v>
      </c>
      <c r="R809" s="148"/>
      <c r="S809" s="150">
        <f t="shared" ref="S809:S813" si="251">Q809+R809</f>
        <v>0.75</v>
      </c>
      <c r="T809" s="149" t="s">
        <v>48</v>
      </c>
    </row>
    <row r="810" spans="3:20" ht="20.25" customHeight="1">
      <c r="C810" s="96"/>
      <c r="D810" s="102">
        <f t="shared" si="217"/>
        <v>810</v>
      </c>
      <c r="E810" s="106" t="s">
        <v>213</v>
      </c>
      <c r="F810" s="108">
        <f t="shared" si="248"/>
        <v>809</v>
      </c>
      <c r="G810" s="105" t="s">
        <v>44</v>
      </c>
      <c r="H810" s="105"/>
      <c r="I810" s="104"/>
      <c r="J810" s="104"/>
      <c r="K810" s="118">
        <v>3</v>
      </c>
      <c r="L810" s="118" t="s">
        <v>81</v>
      </c>
      <c r="M810" s="119">
        <v>1</v>
      </c>
      <c r="N810" s="104" t="s">
        <v>160</v>
      </c>
      <c r="O810" s="120">
        <v>1</v>
      </c>
      <c r="P810" s="104" t="s">
        <v>48</v>
      </c>
      <c r="Q810" s="150">
        <f t="shared" si="250"/>
        <v>1</v>
      </c>
      <c r="R810" s="148"/>
      <c r="S810" s="150">
        <f t="shared" si="251"/>
        <v>1</v>
      </c>
      <c r="T810" s="149" t="s">
        <v>48</v>
      </c>
    </row>
    <row r="811" spans="3:20" ht="20.25" customHeight="1">
      <c r="C811" s="96"/>
      <c r="D811" s="102">
        <f t="shared" si="217"/>
        <v>811</v>
      </c>
      <c r="E811" s="106" t="s">
        <v>214</v>
      </c>
      <c r="F811" s="108">
        <f t="shared" si="248"/>
        <v>810</v>
      </c>
      <c r="G811" s="105" t="s">
        <v>55</v>
      </c>
      <c r="H811" s="105"/>
      <c r="I811" s="104"/>
      <c r="J811" s="104"/>
      <c r="K811" s="118">
        <v>3</v>
      </c>
      <c r="L811" s="118" t="s">
        <v>81</v>
      </c>
      <c r="M811" s="119">
        <v>1</v>
      </c>
      <c r="N811" s="104" t="s">
        <v>160</v>
      </c>
      <c r="O811" s="120">
        <v>5</v>
      </c>
      <c r="P811" s="104" t="s">
        <v>41</v>
      </c>
      <c r="Q811" s="150">
        <f t="shared" si="250"/>
        <v>5</v>
      </c>
      <c r="R811" s="148"/>
      <c r="S811" s="150">
        <f t="shared" si="251"/>
        <v>5</v>
      </c>
      <c r="T811" s="149" t="s">
        <v>41</v>
      </c>
    </row>
    <row r="812" spans="3:20" ht="20.25" customHeight="1">
      <c r="C812" s="96"/>
      <c r="D812" s="102">
        <f t="shared" si="217"/>
        <v>812</v>
      </c>
      <c r="E812" s="106" t="s">
        <v>215</v>
      </c>
      <c r="F812" s="108">
        <f t="shared" si="248"/>
        <v>811</v>
      </c>
      <c r="G812" s="105" t="s">
        <v>55</v>
      </c>
      <c r="H812" s="105"/>
      <c r="I812" s="104"/>
      <c r="J812" s="104"/>
      <c r="K812" s="118">
        <v>3</v>
      </c>
      <c r="L812" s="118" t="s">
        <v>81</v>
      </c>
      <c r="M812" s="119">
        <v>1</v>
      </c>
      <c r="N812" s="104" t="s">
        <v>160</v>
      </c>
      <c r="O812" s="120">
        <v>5</v>
      </c>
      <c r="P812" s="104" t="s">
        <v>41</v>
      </c>
      <c r="Q812" s="150">
        <f t="shared" si="250"/>
        <v>5</v>
      </c>
      <c r="R812" s="148"/>
      <c r="S812" s="150">
        <f t="shared" si="251"/>
        <v>5</v>
      </c>
      <c r="T812" s="149" t="s">
        <v>41</v>
      </c>
    </row>
    <row r="813" spans="3:20" ht="20.25" customHeight="1">
      <c r="C813" s="96"/>
      <c r="D813" s="102">
        <f t="shared" si="217"/>
        <v>813</v>
      </c>
      <c r="E813" s="106" t="s">
        <v>216</v>
      </c>
      <c r="F813" s="108">
        <f t="shared" si="248"/>
        <v>812</v>
      </c>
      <c r="G813" s="105" t="s">
        <v>217</v>
      </c>
      <c r="H813" s="105"/>
      <c r="I813" s="104"/>
      <c r="J813" s="104"/>
      <c r="K813" s="118">
        <v>3</v>
      </c>
      <c r="L813" s="118" t="s">
        <v>81</v>
      </c>
      <c r="M813" s="119">
        <v>1</v>
      </c>
      <c r="N813" s="104" t="s">
        <v>160</v>
      </c>
      <c r="O813" s="120">
        <v>1</v>
      </c>
      <c r="P813" s="104" t="s">
        <v>41</v>
      </c>
      <c r="Q813" s="150">
        <f t="shared" si="250"/>
        <v>1</v>
      </c>
      <c r="R813" s="148"/>
      <c r="S813" s="150">
        <f t="shared" si="251"/>
        <v>1</v>
      </c>
      <c r="T813" s="149" t="s">
        <v>41</v>
      </c>
    </row>
    <row r="814" spans="3:20" ht="20.25" customHeight="1">
      <c r="C814" s="96">
        <f>D814</f>
        <v>814</v>
      </c>
      <c r="D814" s="102">
        <f t="shared" si="217"/>
        <v>814</v>
      </c>
      <c r="E814" s="103" t="s">
        <v>218</v>
      </c>
      <c r="F814" s="108">
        <f>D808</f>
        <v>808</v>
      </c>
      <c r="G814" s="105"/>
      <c r="H814" s="105"/>
      <c r="I814" s="104"/>
      <c r="J814" s="104"/>
      <c r="K814" s="118"/>
      <c r="L814" s="118"/>
      <c r="M814" s="119"/>
      <c r="N814" s="104"/>
      <c r="O814" s="120"/>
      <c r="P814" s="104"/>
      <c r="Q814" s="150"/>
      <c r="R814" s="148"/>
      <c r="S814" s="150"/>
      <c r="T814" s="149"/>
    </row>
    <row r="815" spans="3:20" ht="20.25" customHeight="1">
      <c r="C815" s="96"/>
      <c r="D815" s="102">
        <f t="shared" si="217"/>
        <v>815</v>
      </c>
      <c r="E815" s="106" t="s">
        <v>219</v>
      </c>
      <c r="F815" s="108">
        <f t="shared" ref="F815:F817" si="252">D814</f>
        <v>814</v>
      </c>
      <c r="G815" s="105"/>
      <c r="H815" s="105"/>
      <c r="I815" s="104"/>
      <c r="J815" s="104"/>
      <c r="K815" s="118">
        <v>2</v>
      </c>
      <c r="L815" s="118" t="s">
        <v>81</v>
      </c>
      <c r="M815" s="142">
        <v>1</v>
      </c>
      <c r="N815" s="104" t="s">
        <v>84</v>
      </c>
      <c r="O815" s="120">
        <v>4</v>
      </c>
      <c r="P815" s="104" t="s">
        <v>41</v>
      </c>
      <c r="Q815" s="150">
        <f t="shared" ref="Q815:Q817" si="253">M815*O815</f>
        <v>4</v>
      </c>
      <c r="R815" s="148"/>
      <c r="S815" s="150">
        <f t="shared" ref="S815:S817" si="254">Q815+R815</f>
        <v>4</v>
      </c>
      <c r="T815" s="149" t="s">
        <v>42</v>
      </c>
    </row>
    <row r="816" spans="3:20" ht="20.25" customHeight="1">
      <c r="C816" s="96"/>
      <c r="D816" s="102">
        <f t="shared" si="217"/>
        <v>816</v>
      </c>
      <c r="E816" s="106" t="s">
        <v>220</v>
      </c>
      <c r="F816" s="108">
        <f t="shared" si="252"/>
        <v>815</v>
      </c>
      <c r="G816" s="105" t="s">
        <v>55</v>
      </c>
      <c r="H816" s="105"/>
      <c r="I816" s="104">
        <v>20</v>
      </c>
      <c r="J816" s="104"/>
      <c r="K816" s="118">
        <v>2</v>
      </c>
      <c r="L816" s="118" t="s">
        <v>81</v>
      </c>
      <c r="M816" s="119">
        <v>1</v>
      </c>
      <c r="N816" s="104" t="s">
        <v>84</v>
      </c>
      <c r="O816" s="120">
        <v>1</v>
      </c>
      <c r="P816" s="104" t="s">
        <v>41</v>
      </c>
      <c r="Q816" s="150">
        <f t="shared" si="253"/>
        <v>1</v>
      </c>
      <c r="R816" s="148"/>
      <c r="S816" s="150">
        <f t="shared" si="254"/>
        <v>1</v>
      </c>
      <c r="T816" s="149" t="s">
        <v>42</v>
      </c>
    </row>
    <row r="817" spans="3:20" ht="20.25" customHeight="1">
      <c r="C817" s="96"/>
      <c r="D817" s="102">
        <f t="shared" si="217"/>
        <v>817</v>
      </c>
      <c r="E817" s="106" t="s">
        <v>221</v>
      </c>
      <c r="F817" s="108">
        <f t="shared" si="252"/>
        <v>816</v>
      </c>
      <c r="G817" s="105" t="s">
        <v>55</v>
      </c>
      <c r="H817" s="105"/>
      <c r="I817" s="104"/>
      <c r="J817" s="104"/>
      <c r="K817" s="118">
        <v>2</v>
      </c>
      <c r="L817" s="118" t="s">
        <v>81</v>
      </c>
      <c r="M817" s="119">
        <v>1</v>
      </c>
      <c r="N817" s="104" t="s">
        <v>84</v>
      </c>
      <c r="O817" s="120">
        <v>5</v>
      </c>
      <c r="P817" s="104" t="s">
        <v>41</v>
      </c>
      <c r="Q817" s="150">
        <f t="shared" si="253"/>
        <v>5</v>
      </c>
      <c r="R817" s="148"/>
      <c r="S817" s="150">
        <f t="shared" si="254"/>
        <v>5</v>
      </c>
      <c r="T817" s="149" t="s">
        <v>42</v>
      </c>
    </row>
    <row r="818" spans="3:20" ht="20.25" customHeight="1">
      <c r="C818" s="96">
        <f>D818</f>
        <v>818</v>
      </c>
      <c r="D818" s="102">
        <f t="shared" si="217"/>
        <v>818</v>
      </c>
      <c r="E818" s="103" t="s">
        <v>222</v>
      </c>
      <c r="F818" s="108">
        <f>D814</f>
        <v>814</v>
      </c>
      <c r="G818" s="105"/>
      <c r="H818" s="105"/>
      <c r="I818" s="104"/>
      <c r="J818" s="104"/>
      <c r="K818" s="118"/>
      <c r="L818" s="118"/>
      <c r="M818" s="119"/>
      <c r="N818" s="104"/>
      <c r="O818" s="120"/>
      <c r="P818" s="104"/>
      <c r="Q818" s="150"/>
      <c r="R818" s="148"/>
      <c r="S818" s="150"/>
      <c r="T818" s="149"/>
    </row>
    <row r="819" spans="3:20" ht="20.25" customHeight="1">
      <c r="C819" s="96"/>
      <c r="D819" s="102">
        <f t="shared" si="217"/>
        <v>819</v>
      </c>
      <c r="E819" s="106" t="s">
        <v>223</v>
      </c>
      <c r="F819" s="108">
        <f t="shared" ref="F819:F820" si="255">D818</f>
        <v>818</v>
      </c>
      <c r="G819" s="105" t="s">
        <v>224</v>
      </c>
      <c r="H819" s="105"/>
      <c r="I819" s="104"/>
      <c r="J819" s="104"/>
      <c r="K819" s="118">
        <v>2</v>
      </c>
      <c r="L819" s="118" t="s">
        <v>81</v>
      </c>
      <c r="M819" s="142">
        <f t="shared" ref="M819:M820" si="256">K819</f>
        <v>2</v>
      </c>
      <c r="N819" s="104" t="s">
        <v>81</v>
      </c>
      <c r="O819" s="120">
        <v>2</v>
      </c>
      <c r="P819" s="104" t="s">
        <v>162</v>
      </c>
      <c r="Q819" s="150">
        <f t="shared" ref="Q819:Q820" si="257">M819*O819</f>
        <v>4</v>
      </c>
      <c r="R819" s="148"/>
      <c r="S819" s="150">
        <f t="shared" ref="S819:S820" si="258">Q819+R819</f>
        <v>4</v>
      </c>
      <c r="T819" s="149" t="s">
        <v>162</v>
      </c>
    </row>
    <row r="820" spans="3:20" ht="20.25" customHeight="1">
      <c r="C820" s="96"/>
      <c r="D820" s="102">
        <f t="shared" si="217"/>
        <v>820</v>
      </c>
      <c r="E820" s="106" t="s">
        <v>225</v>
      </c>
      <c r="F820" s="108">
        <f t="shared" si="255"/>
        <v>819</v>
      </c>
      <c r="G820" s="105" t="s">
        <v>44</v>
      </c>
      <c r="H820" s="105"/>
      <c r="I820" s="104"/>
      <c r="J820" s="104"/>
      <c r="K820" s="118">
        <v>2</v>
      </c>
      <c r="L820" s="118" t="s">
        <v>81</v>
      </c>
      <c r="M820" s="142">
        <f t="shared" si="256"/>
        <v>2</v>
      </c>
      <c r="N820" s="104" t="s">
        <v>81</v>
      </c>
      <c r="O820" s="120">
        <v>0.5</v>
      </c>
      <c r="P820" s="104" t="s">
        <v>162</v>
      </c>
      <c r="Q820" s="150">
        <f t="shared" si="257"/>
        <v>1</v>
      </c>
      <c r="R820" s="148"/>
      <c r="S820" s="150">
        <f t="shared" si="258"/>
        <v>1</v>
      </c>
      <c r="T820" s="149" t="s">
        <v>162</v>
      </c>
    </row>
    <row r="821" spans="3:20" ht="20.25" customHeight="1">
      <c r="C821" s="96">
        <f>D821</f>
        <v>821</v>
      </c>
      <c r="D821" s="102">
        <f t="shared" si="217"/>
        <v>821</v>
      </c>
      <c r="E821" s="103" t="s">
        <v>226</v>
      </c>
      <c r="F821" s="108">
        <f>D818</f>
        <v>818</v>
      </c>
      <c r="G821" s="105"/>
      <c r="H821" s="105"/>
      <c r="I821" s="104"/>
      <c r="J821" s="104"/>
      <c r="K821" s="118"/>
      <c r="L821" s="118"/>
      <c r="M821" s="119"/>
      <c r="N821" s="104"/>
      <c r="O821" s="120"/>
      <c r="P821" s="104"/>
      <c r="Q821" s="150"/>
      <c r="R821" s="148"/>
      <c r="S821" s="150"/>
      <c r="T821" s="149"/>
    </row>
    <row r="822" spans="3:20" ht="20.25" customHeight="1">
      <c r="C822" s="96"/>
      <c r="D822" s="102">
        <f t="shared" si="217"/>
        <v>822</v>
      </c>
      <c r="E822" s="106" t="s">
        <v>227</v>
      </c>
      <c r="F822" s="108">
        <f t="shared" ref="F822" si="259">D821</f>
        <v>821</v>
      </c>
      <c r="G822" s="105" t="s">
        <v>55</v>
      </c>
      <c r="H822" s="105"/>
      <c r="I822" s="104" t="s">
        <v>228</v>
      </c>
      <c r="J822" s="104"/>
      <c r="K822" s="118">
        <v>1</v>
      </c>
      <c r="L822" s="118" t="s">
        <v>206</v>
      </c>
      <c r="M822" s="119">
        <v>1</v>
      </c>
      <c r="N822" s="104" t="s">
        <v>84</v>
      </c>
      <c r="O822" s="120">
        <v>10</v>
      </c>
      <c r="P822" s="104" t="s">
        <v>41</v>
      </c>
      <c r="Q822" s="150">
        <f t="shared" ref="Q822" si="260">M822*O822</f>
        <v>10</v>
      </c>
      <c r="R822" s="148"/>
      <c r="S822" s="150">
        <f t="shared" ref="S822" si="261">Q822+R822</f>
        <v>10</v>
      </c>
      <c r="T822" s="149"/>
    </row>
    <row r="823" spans="3:20" ht="20.25" customHeight="1">
      <c r="C823" s="96">
        <f>D823</f>
        <v>823</v>
      </c>
      <c r="D823" s="102">
        <f t="shared" si="217"/>
        <v>823</v>
      </c>
      <c r="E823" s="103" t="s">
        <v>229</v>
      </c>
      <c r="F823" s="108">
        <f>D821</f>
        <v>821</v>
      </c>
      <c r="G823" s="105"/>
      <c r="H823" s="105"/>
      <c r="I823" s="104"/>
      <c r="J823" s="104"/>
      <c r="K823" s="118"/>
      <c r="L823" s="118"/>
      <c r="M823" s="119"/>
      <c r="N823" s="104"/>
      <c r="O823" s="120"/>
      <c r="P823" s="104"/>
      <c r="Q823" s="150"/>
      <c r="R823" s="148"/>
      <c r="S823" s="150"/>
      <c r="T823" s="149"/>
    </row>
    <row r="824" spans="3:20" ht="20.25" customHeight="1">
      <c r="C824" s="96"/>
      <c r="D824" s="102">
        <f t="shared" si="217"/>
        <v>824</v>
      </c>
      <c r="E824" s="106" t="s">
        <v>230</v>
      </c>
      <c r="F824" s="108">
        <f t="shared" ref="F824:F825" si="262">D823</f>
        <v>823</v>
      </c>
      <c r="G824" s="105" t="s">
        <v>44</v>
      </c>
      <c r="H824" s="105"/>
      <c r="I824" s="104"/>
      <c r="J824" s="104"/>
      <c r="K824" s="118">
        <v>1</v>
      </c>
      <c r="L824" s="118" t="s">
        <v>206</v>
      </c>
      <c r="M824" s="119">
        <v>1</v>
      </c>
      <c r="N824" s="104" t="s">
        <v>206</v>
      </c>
      <c r="O824" s="120">
        <v>3</v>
      </c>
      <c r="P824" s="104" t="s">
        <v>48</v>
      </c>
      <c r="Q824" s="150">
        <f t="shared" ref="Q824:Q825" si="263">M824*O824</f>
        <v>3</v>
      </c>
      <c r="R824" s="148"/>
      <c r="S824" s="150">
        <f t="shared" ref="S824:S825" si="264">Q824+R824</f>
        <v>3</v>
      </c>
      <c r="T824" s="149" t="s">
        <v>48</v>
      </c>
    </row>
    <row r="825" spans="3:20" ht="20.25" customHeight="1">
      <c r="C825" s="96"/>
      <c r="D825" s="102">
        <f t="shared" si="217"/>
        <v>825</v>
      </c>
      <c r="E825" s="106" t="s">
        <v>231</v>
      </c>
      <c r="F825" s="108">
        <f t="shared" si="262"/>
        <v>824</v>
      </c>
      <c r="G825" s="105" t="s">
        <v>63</v>
      </c>
      <c r="H825" s="105"/>
      <c r="I825" s="104"/>
      <c r="J825" s="104"/>
      <c r="K825" s="118">
        <v>2</v>
      </c>
      <c r="L825" s="118" t="s">
        <v>232</v>
      </c>
      <c r="M825" s="142">
        <f>1308*2*1</f>
        <v>2616</v>
      </c>
      <c r="N825" s="104" t="s">
        <v>210</v>
      </c>
      <c r="O825" s="162">
        <f>1/100</f>
        <v>0.01</v>
      </c>
      <c r="P825" s="104"/>
      <c r="Q825" s="150">
        <f t="shared" si="263"/>
        <v>26.16</v>
      </c>
      <c r="R825" s="148"/>
      <c r="S825" s="150">
        <f t="shared" si="264"/>
        <v>26.16</v>
      </c>
      <c r="T825" s="149"/>
    </row>
    <row r="826" spans="3:20" ht="20.25" customHeight="1">
      <c r="C826" s="96">
        <f>D826</f>
        <v>826</v>
      </c>
      <c r="D826" s="102">
        <f t="shared" si="217"/>
        <v>826</v>
      </c>
      <c r="E826" s="103" t="s">
        <v>233</v>
      </c>
      <c r="F826" s="108">
        <f>D641</f>
        <v>641</v>
      </c>
      <c r="G826" s="105"/>
      <c r="H826" s="105"/>
      <c r="I826" s="104"/>
      <c r="J826" s="104"/>
      <c r="K826" s="118"/>
      <c r="L826" s="118"/>
      <c r="M826" s="119"/>
      <c r="N826" s="104"/>
      <c r="O826" s="120"/>
      <c r="P826" s="104"/>
      <c r="Q826" s="150"/>
      <c r="R826" s="148"/>
      <c r="S826" s="150"/>
      <c r="T826" s="149"/>
    </row>
    <row r="827" spans="3:20" ht="20.25" customHeight="1">
      <c r="C827" s="96"/>
      <c r="D827" s="102">
        <f t="shared" si="217"/>
        <v>827</v>
      </c>
      <c r="E827" s="106" t="s">
        <v>234</v>
      </c>
      <c r="F827" s="108">
        <f t="shared" ref="F827:F830" si="265">D826</f>
        <v>826</v>
      </c>
      <c r="G827" s="105"/>
      <c r="H827" s="105"/>
      <c r="I827" s="104"/>
      <c r="J827" s="104"/>
      <c r="K827" s="118">
        <v>1</v>
      </c>
      <c r="L827" s="118" t="s">
        <v>81</v>
      </c>
      <c r="M827" s="142">
        <f t="shared" ref="M827:M830" si="266">K827</f>
        <v>1</v>
      </c>
      <c r="N827" s="104" t="s">
        <v>84</v>
      </c>
      <c r="O827" s="120">
        <v>4</v>
      </c>
      <c r="P827" s="104" t="s">
        <v>41</v>
      </c>
      <c r="Q827" s="150">
        <f t="shared" ref="Q827:Q830" si="267">M827*O827</f>
        <v>4</v>
      </c>
      <c r="R827" s="148"/>
      <c r="S827" s="150">
        <f t="shared" ref="S827:S830" si="268">Q827+R827</f>
        <v>4</v>
      </c>
      <c r="T827" s="149" t="s">
        <v>41</v>
      </c>
    </row>
    <row r="828" spans="3:20" ht="20.25" customHeight="1">
      <c r="C828" s="96"/>
      <c r="D828" s="102">
        <f t="shared" si="217"/>
        <v>828</v>
      </c>
      <c r="E828" s="106" t="s">
        <v>235</v>
      </c>
      <c r="F828" s="108">
        <f t="shared" si="265"/>
        <v>827</v>
      </c>
      <c r="G828" s="105" t="s">
        <v>44</v>
      </c>
      <c r="H828" s="105"/>
      <c r="I828" s="104"/>
      <c r="J828" s="104"/>
      <c r="K828" s="118">
        <v>22</v>
      </c>
      <c r="L828" s="118" t="s">
        <v>81</v>
      </c>
      <c r="M828" s="119">
        <f t="shared" si="266"/>
        <v>22</v>
      </c>
      <c r="N828" s="104" t="s">
        <v>236</v>
      </c>
      <c r="O828" s="120">
        <v>0.25</v>
      </c>
      <c r="P828" s="104" t="s">
        <v>162</v>
      </c>
      <c r="Q828" s="150">
        <f t="shared" si="267"/>
        <v>5.5</v>
      </c>
      <c r="R828" s="148"/>
      <c r="S828" s="150">
        <f t="shared" si="268"/>
        <v>5.5</v>
      </c>
      <c r="T828" s="149" t="s">
        <v>48</v>
      </c>
    </row>
    <row r="829" spans="3:20" ht="20.25" customHeight="1">
      <c r="C829" s="96"/>
      <c r="D829" s="102">
        <f t="shared" si="217"/>
        <v>829</v>
      </c>
      <c r="E829" s="106" t="s">
        <v>237</v>
      </c>
      <c r="F829" s="108">
        <f t="shared" si="265"/>
        <v>828</v>
      </c>
      <c r="G829" s="105" t="s">
        <v>238</v>
      </c>
      <c r="H829" s="105"/>
      <c r="I829" s="104"/>
      <c r="J829" s="104"/>
      <c r="K829" s="118">
        <v>22</v>
      </c>
      <c r="L829" s="118" t="s">
        <v>81</v>
      </c>
      <c r="M829" s="119">
        <f t="shared" si="266"/>
        <v>22</v>
      </c>
      <c r="N829" s="104" t="s">
        <v>81</v>
      </c>
      <c r="O829" s="120">
        <v>0.45</v>
      </c>
      <c r="P829" s="104" t="s">
        <v>162</v>
      </c>
      <c r="Q829" s="150">
        <f t="shared" si="267"/>
        <v>9.9</v>
      </c>
      <c r="R829" s="148"/>
      <c r="S829" s="150">
        <f t="shared" si="268"/>
        <v>9.9</v>
      </c>
      <c r="T829" s="149" t="s">
        <v>750</v>
      </c>
    </row>
    <row r="830" spans="3:20" ht="20.25" customHeight="1">
      <c r="C830" s="96"/>
      <c r="D830" s="102">
        <f t="shared" si="217"/>
        <v>830</v>
      </c>
      <c r="E830" s="106" t="s">
        <v>239</v>
      </c>
      <c r="F830" s="108">
        <f t="shared" si="265"/>
        <v>829</v>
      </c>
      <c r="G830" s="105" t="s">
        <v>240</v>
      </c>
      <c r="H830" s="105"/>
      <c r="I830" s="104"/>
      <c r="J830" s="104"/>
      <c r="K830" s="118">
        <v>22</v>
      </c>
      <c r="L830" s="118" t="s">
        <v>81</v>
      </c>
      <c r="M830" s="119">
        <f t="shared" si="266"/>
        <v>22</v>
      </c>
      <c r="N830" s="104" t="s">
        <v>81</v>
      </c>
      <c r="O830" s="120">
        <v>0.5</v>
      </c>
      <c r="P830" s="104" t="s">
        <v>162</v>
      </c>
      <c r="Q830" s="150">
        <f t="shared" si="267"/>
        <v>11</v>
      </c>
      <c r="R830" s="148"/>
      <c r="S830" s="150">
        <f t="shared" si="268"/>
        <v>11</v>
      </c>
      <c r="T830" s="149" t="s">
        <v>48</v>
      </c>
    </row>
    <row r="831" spans="3:20" ht="20.25" customHeight="1">
      <c r="C831" s="96">
        <f>D831</f>
        <v>831</v>
      </c>
      <c r="D831" s="102">
        <f t="shared" si="217"/>
        <v>831</v>
      </c>
      <c r="E831" s="103" t="s">
        <v>241</v>
      </c>
      <c r="F831" s="108">
        <f>D640</f>
        <v>640</v>
      </c>
      <c r="G831" s="105"/>
      <c r="H831" s="105"/>
      <c r="I831" s="104"/>
      <c r="J831" s="104"/>
      <c r="K831" s="118"/>
      <c r="L831" s="118"/>
      <c r="M831" s="119"/>
      <c r="N831" s="104"/>
      <c r="O831" s="120"/>
      <c r="P831" s="104"/>
      <c r="Q831" s="150"/>
      <c r="R831" s="148"/>
      <c r="S831" s="150"/>
      <c r="T831" s="149"/>
    </row>
    <row r="832" spans="3:20" ht="20.25" customHeight="1">
      <c r="C832" s="96"/>
      <c r="D832" s="102">
        <f t="shared" si="217"/>
        <v>832</v>
      </c>
      <c r="E832" s="106" t="s">
        <v>242</v>
      </c>
      <c r="F832" s="108">
        <f t="shared" ref="F832:F835" si="269">D831</f>
        <v>831</v>
      </c>
      <c r="G832" s="105"/>
      <c r="H832" s="105"/>
      <c r="I832" s="104"/>
      <c r="J832" s="104"/>
      <c r="K832" s="118">
        <v>1</v>
      </c>
      <c r="L832" s="118" t="s">
        <v>81</v>
      </c>
      <c r="M832" s="142">
        <f t="shared" ref="M832:M835" si="270">K832</f>
        <v>1</v>
      </c>
      <c r="N832" s="104" t="s">
        <v>84</v>
      </c>
      <c r="O832" s="120">
        <v>4</v>
      </c>
      <c r="P832" s="104" t="s">
        <v>41</v>
      </c>
      <c r="Q832" s="150">
        <f t="shared" ref="Q832:Q835" si="271">M832*O832</f>
        <v>4</v>
      </c>
      <c r="R832" s="148"/>
      <c r="S832" s="150">
        <f t="shared" ref="S832:S835" si="272">Q832+R832</f>
        <v>4</v>
      </c>
      <c r="T832" s="149" t="s">
        <v>48</v>
      </c>
    </row>
    <row r="833" spans="3:20" ht="20.25" customHeight="1">
      <c r="C833" s="96"/>
      <c r="D833" s="102">
        <f t="shared" si="217"/>
        <v>833</v>
      </c>
      <c r="E833" s="106" t="s">
        <v>243</v>
      </c>
      <c r="F833" s="108">
        <f t="shared" si="269"/>
        <v>832</v>
      </c>
      <c r="G833" s="105" t="s">
        <v>44</v>
      </c>
      <c r="H833" s="105"/>
      <c r="I833" s="104"/>
      <c r="J833" s="104"/>
      <c r="K833" s="118">
        <v>414</v>
      </c>
      <c r="L833" s="118" t="s">
        <v>81</v>
      </c>
      <c r="M833" s="119">
        <f t="shared" si="270"/>
        <v>414</v>
      </c>
      <c r="N833" s="104" t="s">
        <v>236</v>
      </c>
      <c r="O833" s="120">
        <v>0.1</v>
      </c>
      <c r="P833" s="104" t="s">
        <v>162</v>
      </c>
      <c r="Q833" s="150">
        <f t="shared" si="271"/>
        <v>41.400000000000006</v>
      </c>
      <c r="R833" s="148"/>
      <c r="S833" s="150">
        <f t="shared" si="272"/>
        <v>41.400000000000006</v>
      </c>
      <c r="T833" s="149" t="s">
        <v>48</v>
      </c>
    </row>
    <row r="834" spans="3:20" ht="20.25" customHeight="1">
      <c r="C834" s="96"/>
      <c r="D834" s="102">
        <f t="shared" si="217"/>
        <v>834</v>
      </c>
      <c r="E834" s="106" t="s">
        <v>244</v>
      </c>
      <c r="F834" s="108">
        <f t="shared" si="269"/>
        <v>833</v>
      </c>
      <c r="G834" s="105" t="s">
        <v>238</v>
      </c>
      <c r="H834" s="105"/>
      <c r="I834" s="104"/>
      <c r="J834" s="104"/>
      <c r="K834" s="118">
        <v>414</v>
      </c>
      <c r="L834" s="118" t="s">
        <v>81</v>
      </c>
      <c r="M834" s="119">
        <f t="shared" si="270"/>
        <v>414</v>
      </c>
      <c r="N834" s="104" t="s">
        <v>236</v>
      </c>
      <c r="O834" s="120">
        <v>0.1</v>
      </c>
      <c r="P834" s="104" t="s">
        <v>162</v>
      </c>
      <c r="Q834" s="150">
        <f t="shared" si="271"/>
        <v>41.400000000000006</v>
      </c>
      <c r="R834" s="148"/>
      <c r="S834" s="150">
        <f t="shared" si="272"/>
        <v>41.400000000000006</v>
      </c>
      <c r="T834" s="149" t="s">
        <v>48</v>
      </c>
    </row>
    <row r="835" spans="3:20" ht="20.25" customHeight="1">
      <c r="C835" s="96"/>
      <c r="D835" s="102">
        <f t="shared" si="217"/>
        <v>835</v>
      </c>
      <c r="E835" s="106" t="s">
        <v>245</v>
      </c>
      <c r="F835" s="108">
        <f t="shared" si="269"/>
        <v>834</v>
      </c>
      <c r="G835" s="105" t="s">
        <v>217</v>
      </c>
      <c r="H835" s="105"/>
      <c r="I835" s="104"/>
      <c r="J835" s="104"/>
      <c r="K835" s="118">
        <v>414</v>
      </c>
      <c r="L835" s="118" t="s">
        <v>81</v>
      </c>
      <c r="M835" s="119">
        <f t="shared" si="270"/>
        <v>414</v>
      </c>
      <c r="N835" s="104" t="s">
        <v>81</v>
      </c>
      <c r="O835" s="162">
        <f>1/60</f>
        <v>1.6666666666666666E-2</v>
      </c>
      <c r="P835" s="104" t="s">
        <v>162</v>
      </c>
      <c r="Q835" s="150">
        <f t="shared" si="271"/>
        <v>6.8999999999999995</v>
      </c>
      <c r="R835" s="148"/>
      <c r="S835" s="150">
        <f t="shared" si="272"/>
        <v>6.8999999999999995</v>
      </c>
      <c r="T835" s="149" t="s">
        <v>48</v>
      </c>
    </row>
    <row r="836" spans="3:20" ht="20.25" customHeight="1">
      <c r="C836" s="96">
        <f>D836</f>
        <v>836</v>
      </c>
      <c r="D836" s="102">
        <f t="shared" ref="D836:D899" si="273">D835+1</f>
        <v>836</v>
      </c>
      <c r="E836" s="103" t="s">
        <v>246</v>
      </c>
      <c r="F836" s="108">
        <f>D635</f>
        <v>635</v>
      </c>
      <c r="G836" s="105"/>
      <c r="H836" s="105"/>
      <c r="I836" s="104"/>
      <c r="J836" s="104"/>
      <c r="K836" s="118"/>
      <c r="L836" s="118"/>
      <c r="M836" s="119"/>
      <c r="N836" s="104"/>
      <c r="O836" s="120"/>
      <c r="P836" s="104"/>
      <c r="Q836" s="150"/>
      <c r="R836" s="148"/>
      <c r="S836" s="150"/>
      <c r="T836" s="149"/>
    </row>
    <row r="837" spans="3:20" ht="20.25" customHeight="1">
      <c r="C837" s="96"/>
      <c r="D837" s="102">
        <f t="shared" si="273"/>
        <v>837</v>
      </c>
      <c r="E837" s="106" t="s">
        <v>247</v>
      </c>
      <c r="F837" s="108">
        <f t="shared" ref="F837:F842" si="274">D836</f>
        <v>836</v>
      </c>
      <c r="G837" s="105" t="s">
        <v>44</v>
      </c>
      <c r="H837" s="105"/>
      <c r="I837" s="104">
        <v>8</v>
      </c>
      <c r="J837" s="104" t="s">
        <v>248</v>
      </c>
      <c r="K837" s="118">
        <v>2</v>
      </c>
      <c r="L837" s="118" t="s">
        <v>81</v>
      </c>
      <c r="M837" s="128">
        <f>LEFT(J837,SEARCH(" ",J837,1)-1)*K837*0.001</f>
        <v>19.044</v>
      </c>
      <c r="N837" s="104" t="s">
        <v>249</v>
      </c>
      <c r="O837" s="162">
        <f>VLOOKUP(I837,BM!$B$3:$Y$62,2,FALSE)</f>
        <v>0.1</v>
      </c>
      <c r="P837" s="104" t="s">
        <v>162</v>
      </c>
      <c r="Q837" s="150">
        <f t="shared" ref="Q837:Q842" si="275">M837*O837</f>
        <v>1.9044000000000001</v>
      </c>
      <c r="R837" s="148"/>
      <c r="S837" s="150">
        <f t="shared" ref="S837:S842" si="276">Q837+R837</f>
        <v>1.9044000000000001</v>
      </c>
      <c r="T837" s="149" t="s">
        <v>48</v>
      </c>
    </row>
    <row r="838" spans="3:20" ht="20.25" customHeight="1">
      <c r="C838" s="96"/>
      <c r="D838" s="102">
        <f t="shared" si="273"/>
        <v>838</v>
      </c>
      <c r="E838" s="106" t="s">
        <v>250</v>
      </c>
      <c r="F838" s="108">
        <f t="shared" si="274"/>
        <v>837</v>
      </c>
      <c r="G838" s="105" t="s">
        <v>52</v>
      </c>
      <c r="H838" s="105"/>
      <c r="I838" s="104">
        <v>25</v>
      </c>
      <c r="J838" s="104" t="str">
        <f t="shared" ref="J838:J842" si="277">J837</f>
        <v>9522 mm</v>
      </c>
      <c r="K838" s="118">
        <v>2</v>
      </c>
      <c r="L838" s="118" t="s">
        <v>81</v>
      </c>
      <c r="M838" s="128">
        <f>LEFT(J838,SEARCH(" ",J838,1)-1)*K838*0.001</f>
        <v>19.044</v>
      </c>
      <c r="N838" s="104" t="s">
        <v>249</v>
      </c>
      <c r="O838" s="162">
        <f>VLOOKUP(I838,BM!$B$3:$Y$62,3,FALSE)</f>
        <v>0.25</v>
      </c>
      <c r="P838" s="104" t="s">
        <v>162</v>
      </c>
      <c r="Q838" s="150">
        <f t="shared" si="275"/>
        <v>4.7610000000000001</v>
      </c>
      <c r="R838" s="148"/>
      <c r="S838" s="150">
        <f t="shared" si="276"/>
        <v>4.7610000000000001</v>
      </c>
      <c r="T838" s="149" t="s">
        <v>48</v>
      </c>
    </row>
    <row r="839" spans="3:20" ht="20.25" customHeight="1">
      <c r="C839" s="96"/>
      <c r="D839" s="102">
        <f t="shared" si="273"/>
        <v>839</v>
      </c>
      <c r="E839" s="106" t="s">
        <v>251</v>
      </c>
      <c r="F839" s="108">
        <f t="shared" si="274"/>
        <v>838</v>
      </c>
      <c r="G839" s="105" t="s">
        <v>201</v>
      </c>
      <c r="H839" s="105"/>
      <c r="I839" s="104">
        <v>25</v>
      </c>
      <c r="J839" s="104" t="str">
        <f t="shared" si="277"/>
        <v>9522 mm</v>
      </c>
      <c r="K839" s="118">
        <v>2</v>
      </c>
      <c r="L839" s="118" t="s">
        <v>81</v>
      </c>
      <c r="M839" s="142">
        <f>K839</f>
        <v>2</v>
      </c>
      <c r="N839" s="104" t="s">
        <v>81</v>
      </c>
      <c r="O839" s="120">
        <v>2</v>
      </c>
      <c r="P839" s="104" t="s">
        <v>162</v>
      </c>
      <c r="Q839" s="150">
        <f t="shared" si="275"/>
        <v>4</v>
      </c>
      <c r="R839" s="148"/>
      <c r="S839" s="150">
        <f t="shared" si="276"/>
        <v>4</v>
      </c>
      <c r="T839" s="149" t="s">
        <v>48</v>
      </c>
    </row>
    <row r="840" spans="3:20" ht="20.25" customHeight="1">
      <c r="C840" s="96"/>
      <c r="D840" s="102">
        <f t="shared" si="273"/>
        <v>840</v>
      </c>
      <c r="E840" s="106" t="s">
        <v>252</v>
      </c>
      <c r="F840" s="108">
        <f t="shared" si="274"/>
        <v>839</v>
      </c>
      <c r="G840" s="105" t="s">
        <v>61</v>
      </c>
      <c r="H840" s="105"/>
      <c r="I840" s="104">
        <v>25</v>
      </c>
      <c r="J840" s="104" t="str">
        <f t="shared" si="277"/>
        <v>9522 mm</v>
      </c>
      <c r="K840" s="118">
        <v>2</v>
      </c>
      <c r="L840" s="118" t="s">
        <v>81</v>
      </c>
      <c r="M840" s="119">
        <v>4</v>
      </c>
      <c r="N840" s="104" t="s">
        <v>81</v>
      </c>
      <c r="O840" s="120">
        <v>4</v>
      </c>
      <c r="P840" s="104" t="s">
        <v>162</v>
      </c>
      <c r="Q840" s="150">
        <f t="shared" si="275"/>
        <v>16</v>
      </c>
      <c r="R840" s="148"/>
      <c r="S840" s="150">
        <f t="shared" si="276"/>
        <v>16</v>
      </c>
      <c r="T840" s="149" t="s">
        <v>48</v>
      </c>
    </row>
    <row r="841" spans="3:20" ht="20.25" customHeight="1">
      <c r="C841" s="96"/>
      <c r="D841" s="102">
        <f t="shared" si="273"/>
        <v>841</v>
      </c>
      <c r="E841" s="106" t="s">
        <v>253</v>
      </c>
      <c r="F841" s="108">
        <f t="shared" si="274"/>
        <v>840</v>
      </c>
      <c r="G841" s="105" t="s">
        <v>240</v>
      </c>
      <c r="H841" s="105"/>
      <c r="I841" s="104">
        <v>25</v>
      </c>
      <c r="J841" s="104" t="str">
        <f t="shared" si="277"/>
        <v>9522 mm</v>
      </c>
      <c r="K841" s="118">
        <v>2</v>
      </c>
      <c r="L841" s="118" t="s">
        <v>81</v>
      </c>
      <c r="M841" s="119">
        <v>4</v>
      </c>
      <c r="N841" s="104" t="s">
        <v>81</v>
      </c>
      <c r="O841" s="120">
        <v>1</v>
      </c>
      <c r="P841" s="104" t="s">
        <v>162</v>
      </c>
      <c r="Q841" s="150">
        <f t="shared" si="275"/>
        <v>4</v>
      </c>
      <c r="R841" s="148"/>
      <c r="S841" s="150">
        <f t="shared" si="276"/>
        <v>4</v>
      </c>
      <c r="T841" s="149" t="s">
        <v>48</v>
      </c>
    </row>
    <row r="842" spans="3:20" ht="20.25" customHeight="1">
      <c r="C842" s="96"/>
      <c r="D842" s="102">
        <f t="shared" si="273"/>
        <v>842</v>
      </c>
      <c r="E842" s="106" t="s">
        <v>254</v>
      </c>
      <c r="F842" s="108">
        <f t="shared" si="274"/>
        <v>841</v>
      </c>
      <c r="G842" s="105" t="s">
        <v>61</v>
      </c>
      <c r="H842" s="105"/>
      <c r="I842" s="104">
        <v>25</v>
      </c>
      <c r="J842" s="104" t="str">
        <f t="shared" si="277"/>
        <v>9522 mm</v>
      </c>
      <c r="K842" s="118">
        <v>2</v>
      </c>
      <c r="L842" s="118" t="s">
        <v>81</v>
      </c>
      <c r="M842" s="119">
        <v>4</v>
      </c>
      <c r="N842" s="104" t="s">
        <v>81</v>
      </c>
      <c r="O842" s="120">
        <v>1</v>
      </c>
      <c r="P842" s="104" t="s">
        <v>162</v>
      </c>
      <c r="Q842" s="150">
        <f t="shared" si="275"/>
        <v>4</v>
      </c>
      <c r="R842" s="148"/>
      <c r="S842" s="150">
        <f t="shared" si="276"/>
        <v>4</v>
      </c>
      <c r="T842" s="149" t="s">
        <v>48</v>
      </c>
    </row>
    <row r="843" spans="3:20" ht="20.25" customHeight="1">
      <c r="C843" s="96">
        <f>D843</f>
        <v>843</v>
      </c>
      <c r="D843" s="102">
        <f t="shared" si="273"/>
        <v>843</v>
      </c>
      <c r="E843" s="103" t="s">
        <v>255</v>
      </c>
      <c r="F843" s="108">
        <f>D636</f>
        <v>636</v>
      </c>
      <c r="G843" s="105"/>
      <c r="H843" s="105"/>
      <c r="I843" s="104"/>
      <c r="J843" s="104"/>
      <c r="K843" s="118"/>
      <c r="L843" s="118"/>
      <c r="M843" s="119"/>
      <c r="N843" s="104"/>
      <c r="O843" s="120"/>
      <c r="P843" s="104"/>
      <c r="Q843" s="150"/>
      <c r="R843" s="148"/>
      <c r="S843" s="150"/>
      <c r="T843" s="149"/>
    </row>
    <row r="844" spans="3:20" ht="20.25" customHeight="1">
      <c r="C844" s="96"/>
      <c r="D844" s="102">
        <f t="shared" si="273"/>
        <v>844</v>
      </c>
      <c r="E844" s="106" t="s">
        <v>256</v>
      </c>
      <c r="F844" s="108">
        <f t="shared" ref="F844:F849" si="278">D843</f>
        <v>843</v>
      </c>
      <c r="G844" s="105" t="s">
        <v>44</v>
      </c>
      <c r="H844" s="105"/>
      <c r="I844" s="104">
        <v>8</v>
      </c>
      <c r="J844" s="104" t="s">
        <v>257</v>
      </c>
      <c r="K844" s="118">
        <v>2</v>
      </c>
      <c r="L844" s="118" t="s">
        <v>81</v>
      </c>
      <c r="M844" s="128">
        <f>LEFT(J844,SEARCH(" ",J844,1)-1)*K844*0.001</f>
        <v>26.731999999999999</v>
      </c>
      <c r="N844" s="104" t="s">
        <v>249</v>
      </c>
      <c r="O844" s="162">
        <f>VLOOKUP(I844,BM!$B$3:$Y$62,2,FALSE)</f>
        <v>0.1</v>
      </c>
      <c r="P844" s="104" t="s">
        <v>162</v>
      </c>
      <c r="Q844" s="150">
        <f t="shared" ref="Q844:Q849" si="279">M844*O844</f>
        <v>2.6732</v>
      </c>
      <c r="R844" s="148"/>
      <c r="S844" s="150">
        <f t="shared" ref="S844:S849" si="280">Q844+R844</f>
        <v>2.6732</v>
      </c>
      <c r="T844" s="149" t="s">
        <v>48</v>
      </c>
    </row>
    <row r="845" spans="3:20" ht="20.25" customHeight="1">
      <c r="C845" s="96"/>
      <c r="D845" s="102">
        <f t="shared" si="273"/>
        <v>845</v>
      </c>
      <c r="E845" s="106" t="s">
        <v>258</v>
      </c>
      <c r="F845" s="108">
        <f t="shared" si="278"/>
        <v>844</v>
      </c>
      <c r="G845" s="105" t="s">
        <v>52</v>
      </c>
      <c r="H845" s="105"/>
      <c r="I845" s="108">
        <f t="shared" ref="I845:K845" si="281">I844</f>
        <v>8</v>
      </c>
      <c r="J845" s="108" t="str">
        <f t="shared" si="281"/>
        <v>13366 mm</v>
      </c>
      <c r="K845" s="164">
        <f t="shared" si="281"/>
        <v>2</v>
      </c>
      <c r="L845" s="118" t="s">
        <v>81</v>
      </c>
      <c r="M845" s="128">
        <f>LEFT(J845,SEARCH(" ",J845,1)-1)*K845*0.001</f>
        <v>26.731999999999999</v>
      </c>
      <c r="N845" s="104" t="s">
        <v>249</v>
      </c>
      <c r="O845" s="162">
        <f>VLOOKUP(I845,BM!$B$3:$Y$62,3,FALSE)</f>
        <v>0.25</v>
      </c>
      <c r="P845" s="104" t="s">
        <v>162</v>
      </c>
      <c r="Q845" s="150">
        <f t="shared" si="279"/>
        <v>6.6829999999999998</v>
      </c>
      <c r="R845" s="148"/>
      <c r="S845" s="150">
        <f t="shared" si="280"/>
        <v>6.6829999999999998</v>
      </c>
      <c r="T845" s="149" t="s">
        <v>48</v>
      </c>
    </row>
    <row r="846" spans="3:20" ht="20.25" customHeight="1">
      <c r="C846" s="96"/>
      <c r="D846" s="102">
        <f t="shared" si="273"/>
        <v>846</v>
      </c>
      <c r="E846" s="106" t="s">
        <v>259</v>
      </c>
      <c r="F846" s="108">
        <f t="shared" si="278"/>
        <v>845</v>
      </c>
      <c r="G846" s="105" t="s">
        <v>201</v>
      </c>
      <c r="H846" s="105"/>
      <c r="I846" s="108">
        <f t="shared" ref="I846:K846" si="282">I845</f>
        <v>8</v>
      </c>
      <c r="J846" s="108" t="str">
        <f t="shared" si="282"/>
        <v>13366 mm</v>
      </c>
      <c r="K846" s="164">
        <f t="shared" si="282"/>
        <v>2</v>
      </c>
      <c r="L846" s="118" t="s">
        <v>81</v>
      </c>
      <c r="M846" s="142">
        <f>K846</f>
        <v>2</v>
      </c>
      <c r="N846" s="104" t="s">
        <v>81</v>
      </c>
      <c r="O846" s="120">
        <v>2</v>
      </c>
      <c r="P846" s="104" t="s">
        <v>162</v>
      </c>
      <c r="Q846" s="150">
        <f t="shared" si="279"/>
        <v>4</v>
      </c>
      <c r="R846" s="148"/>
      <c r="S846" s="150">
        <f t="shared" si="280"/>
        <v>4</v>
      </c>
      <c r="T846" s="149" t="s">
        <v>48</v>
      </c>
    </row>
    <row r="847" spans="3:20" ht="20.25" customHeight="1">
      <c r="C847" s="96"/>
      <c r="D847" s="102">
        <f t="shared" si="273"/>
        <v>847</v>
      </c>
      <c r="E847" s="106" t="s">
        <v>260</v>
      </c>
      <c r="F847" s="108">
        <f t="shared" si="278"/>
        <v>846</v>
      </c>
      <c r="G847" s="105" t="s">
        <v>61</v>
      </c>
      <c r="H847" s="105"/>
      <c r="I847" s="108">
        <f t="shared" ref="I847:K847" si="283">I846</f>
        <v>8</v>
      </c>
      <c r="J847" s="108" t="str">
        <f t="shared" si="283"/>
        <v>13366 mm</v>
      </c>
      <c r="K847" s="164">
        <f t="shared" si="283"/>
        <v>2</v>
      </c>
      <c r="L847" s="118" t="s">
        <v>81</v>
      </c>
      <c r="M847" s="119">
        <v>4</v>
      </c>
      <c r="N847" s="104" t="s">
        <v>81</v>
      </c>
      <c r="O847" s="120">
        <v>4</v>
      </c>
      <c r="P847" s="104" t="s">
        <v>162</v>
      </c>
      <c r="Q847" s="150">
        <f t="shared" si="279"/>
        <v>16</v>
      </c>
      <c r="R847" s="148"/>
      <c r="S847" s="150">
        <f t="shared" si="280"/>
        <v>16</v>
      </c>
      <c r="T847" s="149" t="s">
        <v>48</v>
      </c>
    </row>
    <row r="848" spans="3:20" ht="20.25" customHeight="1">
      <c r="C848" s="96"/>
      <c r="D848" s="102">
        <f t="shared" si="273"/>
        <v>848</v>
      </c>
      <c r="E848" s="106" t="s">
        <v>261</v>
      </c>
      <c r="F848" s="108">
        <f t="shared" si="278"/>
        <v>847</v>
      </c>
      <c r="G848" s="105" t="s">
        <v>240</v>
      </c>
      <c r="H848" s="105"/>
      <c r="I848" s="108">
        <f t="shared" ref="I848:K848" si="284">I847</f>
        <v>8</v>
      </c>
      <c r="J848" s="108" t="str">
        <f t="shared" si="284"/>
        <v>13366 mm</v>
      </c>
      <c r="K848" s="164">
        <f t="shared" si="284"/>
        <v>2</v>
      </c>
      <c r="L848" s="118" t="s">
        <v>81</v>
      </c>
      <c r="M848" s="119">
        <v>4</v>
      </c>
      <c r="N848" s="104" t="s">
        <v>81</v>
      </c>
      <c r="O848" s="120">
        <v>1</v>
      </c>
      <c r="P848" s="104" t="s">
        <v>162</v>
      </c>
      <c r="Q848" s="150">
        <f t="shared" si="279"/>
        <v>4</v>
      </c>
      <c r="R848" s="148"/>
      <c r="S848" s="150">
        <f t="shared" si="280"/>
        <v>4</v>
      </c>
      <c r="T848" s="149" t="s">
        <v>48</v>
      </c>
    </row>
    <row r="849" spans="3:20" ht="20.25" customHeight="1">
      <c r="C849" s="96"/>
      <c r="D849" s="102">
        <f t="shared" si="273"/>
        <v>849</v>
      </c>
      <c r="E849" s="106" t="s">
        <v>262</v>
      </c>
      <c r="F849" s="108">
        <f t="shared" si="278"/>
        <v>848</v>
      </c>
      <c r="G849" s="105" t="s">
        <v>61</v>
      </c>
      <c r="H849" s="105"/>
      <c r="I849" s="108">
        <f t="shared" ref="I849:K849" si="285">I848</f>
        <v>8</v>
      </c>
      <c r="J849" s="108" t="str">
        <f t="shared" si="285"/>
        <v>13366 mm</v>
      </c>
      <c r="K849" s="164">
        <f t="shared" si="285"/>
        <v>2</v>
      </c>
      <c r="L849" s="118" t="s">
        <v>81</v>
      </c>
      <c r="M849" s="119">
        <v>4</v>
      </c>
      <c r="N849" s="104" t="s">
        <v>81</v>
      </c>
      <c r="O849" s="120">
        <v>1</v>
      </c>
      <c r="P849" s="104" t="s">
        <v>162</v>
      </c>
      <c r="Q849" s="150">
        <f t="shared" si="279"/>
        <v>4</v>
      </c>
      <c r="R849" s="148"/>
      <c r="S849" s="150">
        <f t="shared" si="280"/>
        <v>4</v>
      </c>
      <c r="T849" s="149" t="s">
        <v>48</v>
      </c>
    </row>
    <row r="850" spans="3:20" ht="20.25" customHeight="1">
      <c r="C850" s="96">
        <f>D850</f>
        <v>850</v>
      </c>
      <c r="D850" s="102">
        <f t="shared" si="273"/>
        <v>850</v>
      </c>
      <c r="E850" s="103" t="s">
        <v>263</v>
      </c>
      <c r="F850" s="108">
        <f>D637</f>
        <v>637</v>
      </c>
      <c r="G850" s="105"/>
      <c r="H850" s="105"/>
      <c r="I850" s="104"/>
      <c r="J850" s="104"/>
      <c r="K850" s="118"/>
      <c r="L850" s="118"/>
      <c r="M850" s="119"/>
      <c r="N850" s="104"/>
      <c r="O850" s="120"/>
      <c r="P850" s="104"/>
      <c r="Q850" s="150"/>
      <c r="R850" s="148"/>
      <c r="S850" s="150"/>
      <c r="T850" s="149"/>
    </row>
    <row r="851" spans="3:20" ht="20.25" customHeight="1">
      <c r="C851" s="96"/>
      <c r="D851" s="102">
        <f t="shared" si="273"/>
        <v>851</v>
      </c>
      <c r="E851" s="106" t="s">
        <v>264</v>
      </c>
      <c r="F851" s="108">
        <f t="shared" ref="F851:F855" si="286">D850</f>
        <v>850</v>
      </c>
      <c r="G851" s="105" t="s">
        <v>37</v>
      </c>
      <c r="H851" s="105"/>
      <c r="I851" s="104"/>
      <c r="J851" s="104"/>
      <c r="K851" s="118">
        <v>1</v>
      </c>
      <c r="L851" s="118" t="s">
        <v>84</v>
      </c>
      <c r="M851" s="119">
        <v>1</v>
      </c>
      <c r="N851" s="104"/>
      <c r="O851" s="120">
        <v>4</v>
      </c>
      <c r="P851" s="104" t="s">
        <v>41</v>
      </c>
      <c r="Q851" s="150">
        <f t="shared" ref="Q851:Q854" si="287">M851*O851</f>
        <v>4</v>
      </c>
      <c r="R851" s="148"/>
      <c r="S851" s="150">
        <f t="shared" ref="S851:S854" si="288">Q851+R851</f>
        <v>4</v>
      </c>
      <c r="T851" s="149" t="s">
        <v>42</v>
      </c>
    </row>
    <row r="852" spans="3:20" ht="20.25" customHeight="1">
      <c r="C852" s="96"/>
      <c r="D852" s="102">
        <f t="shared" si="273"/>
        <v>852</v>
      </c>
      <c r="E852" s="106" t="s">
        <v>265</v>
      </c>
      <c r="F852" s="108">
        <f t="shared" si="286"/>
        <v>851</v>
      </c>
      <c r="G852" s="105" t="s">
        <v>44</v>
      </c>
      <c r="H852" s="105"/>
      <c r="I852" s="104" t="s">
        <v>266</v>
      </c>
      <c r="J852" s="108">
        <v>14</v>
      </c>
      <c r="K852" s="118">
        <v>14</v>
      </c>
      <c r="L852" s="118" t="s">
        <v>81</v>
      </c>
      <c r="M852" s="142">
        <f>K852</f>
        <v>14</v>
      </c>
      <c r="N852" s="104" t="s">
        <v>81</v>
      </c>
      <c r="O852" s="120">
        <v>0.25</v>
      </c>
      <c r="P852" s="104" t="s">
        <v>162</v>
      </c>
      <c r="Q852" s="150">
        <f t="shared" si="287"/>
        <v>3.5</v>
      </c>
      <c r="R852" s="148"/>
      <c r="S852" s="150">
        <f t="shared" si="288"/>
        <v>3.5</v>
      </c>
      <c r="T852" s="149" t="s">
        <v>48</v>
      </c>
    </row>
    <row r="853" spans="3:20" ht="20.25" customHeight="1">
      <c r="C853" s="96"/>
      <c r="D853" s="102">
        <f t="shared" si="273"/>
        <v>853</v>
      </c>
      <c r="E853" s="106" t="s">
        <v>267</v>
      </c>
      <c r="F853" s="108">
        <f t="shared" si="286"/>
        <v>852</v>
      </c>
      <c r="G853" s="105" t="s">
        <v>44</v>
      </c>
      <c r="H853" s="105"/>
      <c r="I853" s="108" t="str">
        <f t="shared" ref="I853:K853" si="289">I852</f>
        <v>25.4 dia</v>
      </c>
      <c r="J853" s="108">
        <f t="shared" si="289"/>
        <v>14</v>
      </c>
      <c r="K853" s="164">
        <f t="shared" si="289"/>
        <v>14</v>
      </c>
      <c r="L853" s="118" t="s">
        <v>81</v>
      </c>
      <c r="M853" s="142">
        <f>K853</f>
        <v>14</v>
      </c>
      <c r="N853" s="104" t="s">
        <v>81</v>
      </c>
      <c r="O853" s="120">
        <v>0.5</v>
      </c>
      <c r="P853" s="104" t="s">
        <v>162</v>
      </c>
      <c r="Q853" s="150">
        <f t="shared" si="287"/>
        <v>7</v>
      </c>
      <c r="R853" s="148"/>
      <c r="S853" s="150">
        <f t="shared" si="288"/>
        <v>7</v>
      </c>
      <c r="T853" s="149" t="s">
        <v>48</v>
      </c>
    </row>
    <row r="854" spans="3:20" ht="20.25" customHeight="1">
      <c r="C854" s="96"/>
      <c r="D854" s="102">
        <f t="shared" si="273"/>
        <v>854</v>
      </c>
      <c r="E854" s="106" t="s">
        <v>268</v>
      </c>
      <c r="F854" s="108">
        <f t="shared" si="286"/>
        <v>853</v>
      </c>
      <c r="G854" s="105" t="s">
        <v>201</v>
      </c>
      <c r="H854" s="105"/>
      <c r="I854" s="108" t="str">
        <f t="shared" ref="I854:K854" si="290">I853</f>
        <v>25.4 dia</v>
      </c>
      <c r="J854" s="108">
        <f t="shared" si="290"/>
        <v>14</v>
      </c>
      <c r="K854" s="164">
        <f t="shared" si="290"/>
        <v>14</v>
      </c>
      <c r="L854" s="118" t="s">
        <v>81</v>
      </c>
      <c r="M854" s="142">
        <f>K854</f>
        <v>14</v>
      </c>
      <c r="N854" s="104" t="s">
        <v>81</v>
      </c>
      <c r="O854" s="120">
        <v>1</v>
      </c>
      <c r="P854" s="104" t="s">
        <v>162</v>
      </c>
      <c r="Q854" s="150">
        <f t="shared" si="287"/>
        <v>14</v>
      </c>
      <c r="R854" s="148"/>
      <c r="S854" s="150">
        <f t="shared" si="288"/>
        <v>14</v>
      </c>
      <c r="T854" s="149" t="s">
        <v>48</v>
      </c>
    </row>
    <row r="855" spans="3:20" ht="20.25" customHeight="1">
      <c r="C855" s="96">
        <f t="shared" ref="C855:C856" si="291">D855</f>
        <v>855</v>
      </c>
      <c r="D855" s="102">
        <f t="shared" si="273"/>
        <v>855</v>
      </c>
      <c r="E855" s="165" t="s">
        <v>269</v>
      </c>
      <c r="F855" s="108">
        <f t="shared" si="286"/>
        <v>854</v>
      </c>
      <c r="G855" s="105"/>
      <c r="H855" s="105"/>
      <c r="I855" s="104"/>
      <c r="J855" s="104"/>
      <c r="K855" s="118"/>
      <c r="L855" s="118"/>
      <c r="M855" s="119"/>
      <c r="N855" s="104"/>
      <c r="O855" s="120"/>
      <c r="P855" s="104"/>
      <c r="Q855" s="150"/>
      <c r="R855" s="148"/>
      <c r="S855" s="150"/>
      <c r="T855" s="149"/>
    </row>
    <row r="856" spans="3:20" ht="20.25" customHeight="1">
      <c r="C856" s="96">
        <f t="shared" si="291"/>
        <v>856</v>
      </c>
      <c r="D856" s="102">
        <f t="shared" si="273"/>
        <v>856</v>
      </c>
      <c r="E856" s="103" t="s">
        <v>751</v>
      </c>
      <c r="F856" s="108">
        <f>D622</f>
        <v>622</v>
      </c>
      <c r="G856" s="105"/>
      <c r="H856" s="105"/>
      <c r="I856" s="104"/>
      <c r="J856" s="104"/>
      <c r="K856" s="118"/>
      <c r="L856" s="118"/>
      <c r="M856" s="119"/>
      <c r="N856" s="104"/>
      <c r="O856" s="120"/>
      <c r="P856" s="104"/>
      <c r="Q856" s="150"/>
      <c r="R856" s="148"/>
      <c r="S856" s="150"/>
      <c r="T856" s="149"/>
    </row>
    <row r="857" spans="3:20" ht="20.25" customHeight="1">
      <c r="C857" s="96"/>
      <c r="D857" s="102">
        <f t="shared" si="273"/>
        <v>857</v>
      </c>
      <c r="E857" s="106" t="s">
        <v>271</v>
      </c>
      <c r="F857" s="108">
        <f t="shared" ref="F857:F858" si="292">D856</f>
        <v>856</v>
      </c>
      <c r="G857" s="105" t="s">
        <v>37</v>
      </c>
      <c r="H857" s="105"/>
      <c r="I857" s="104"/>
      <c r="J857" s="104"/>
      <c r="K857" s="118">
        <v>1</v>
      </c>
      <c r="L857" s="118" t="s">
        <v>84</v>
      </c>
      <c r="M857" s="119">
        <v>1</v>
      </c>
      <c r="N857" s="104"/>
      <c r="O857" s="120">
        <v>4</v>
      </c>
      <c r="P857" s="104" t="s">
        <v>41</v>
      </c>
      <c r="Q857" s="150">
        <f t="shared" ref="Q857:Q858" si="293">M857*O857</f>
        <v>4</v>
      </c>
      <c r="R857" s="148"/>
      <c r="S857" s="150">
        <f t="shared" ref="S857:S858" si="294">Q857+R857</f>
        <v>4</v>
      </c>
      <c r="T857" s="149" t="s">
        <v>41</v>
      </c>
    </row>
    <row r="858" spans="3:20" ht="20.25" customHeight="1">
      <c r="C858" s="96"/>
      <c r="D858" s="102">
        <f t="shared" si="273"/>
        <v>858</v>
      </c>
      <c r="E858" s="106" t="s">
        <v>272</v>
      </c>
      <c r="F858" s="108">
        <f t="shared" si="292"/>
        <v>857</v>
      </c>
      <c r="G858" s="105" t="s">
        <v>201</v>
      </c>
      <c r="H858" s="105"/>
      <c r="I858" s="104">
        <v>18</v>
      </c>
      <c r="J858" s="108" t="s">
        <v>273</v>
      </c>
      <c r="K858" s="118">
        <v>1</v>
      </c>
      <c r="L858" s="118" t="s">
        <v>81</v>
      </c>
      <c r="M858" s="128">
        <f>LEFT(J858,SEARCH(" ",J858,1)-1)*K858*0.001</f>
        <v>43</v>
      </c>
      <c r="N858" s="104" t="s">
        <v>139</v>
      </c>
      <c r="O858" s="162">
        <f>VLOOKUP(I858,BM!$B$3:$Y$62,2,FALSE)</f>
        <v>0.1</v>
      </c>
      <c r="P858" s="104" t="s">
        <v>112</v>
      </c>
      <c r="Q858" s="150">
        <f t="shared" si="293"/>
        <v>4.3</v>
      </c>
      <c r="R858" s="148">
        <v>1</v>
      </c>
      <c r="S858" s="150">
        <f t="shared" si="294"/>
        <v>5.3</v>
      </c>
      <c r="T858" s="149" t="s">
        <v>48</v>
      </c>
    </row>
    <row r="859" spans="3:20" ht="20.25" customHeight="1">
      <c r="C859" s="96">
        <f>D859</f>
        <v>859</v>
      </c>
      <c r="D859" s="102">
        <f t="shared" si="273"/>
        <v>859</v>
      </c>
      <c r="E859" s="103" t="s">
        <v>752</v>
      </c>
      <c r="F859" s="108">
        <f>D856</f>
        <v>856</v>
      </c>
      <c r="G859" s="105"/>
      <c r="H859" s="105"/>
      <c r="I859" s="104"/>
      <c r="J859" s="104"/>
      <c r="K859" s="118"/>
      <c r="L859" s="118"/>
      <c r="M859" s="119"/>
      <c r="N859" s="104"/>
      <c r="O859" s="120"/>
      <c r="P859" s="104"/>
      <c r="Q859" s="150"/>
      <c r="R859" s="148"/>
      <c r="S859" s="150"/>
      <c r="T859" s="149"/>
    </row>
    <row r="860" spans="3:20" ht="20.25" customHeight="1">
      <c r="C860" s="96"/>
      <c r="D860" s="102">
        <f t="shared" si="273"/>
        <v>860</v>
      </c>
      <c r="E860" s="106" t="s">
        <v>275</v>
      </c>
      <c r="F860" s="108">
        <f t="shared" ref="F860" si="295">D859</f>
        <v>859</v>
      </c>
      <c r="G860" s="105" t="s">
        <v>276</v>
      </c>
      <c r="H860" s="105"/>
      <c r="I860" s="104">
        <v>18</v>
      </c>
      <c r="J860" s="108" t="str">
        <f>J858</f>
        <v>43000 mm</v>
      </c>
      <c r="K860" s="118">
        <v>3</v>
      </c>
      <c r="L860" s="118" t="s">
        <v>81</v>
      </c>
      <c r="M860" s="128">
        <f>LEFT(J860,SEARCH(" ",J860,1)-1)*K860*0.001</f>
        <v>129</v>
      </c>
      <c r="N860" s="104" t="s">
        <v>139</v>
      </c>
      <c r="O860" s="162">
        <f>VLOOKUP(I860,BM!$B$3:$Y$62,3,FALSE)</f>
        <v>0.25</v>
      </c>
      <c r="P860" s="104" t="s">
        <v>112</v>
      </c>
      <c r="Q860" s="150">
        <f t="shared" ref="Q860" si="296">M860*O860</f>
        <v>32.25</v>
      </c>
      <c r="R860" s="148">
        <v>1</v>
      </c>
      <c r="S860" s="150">
        <f t="shared" ref="S860" si="297">Q860+R860</f>
        <v>33.25</v>
      </c>
      <c r="T860" s="149" t="s">
        <v>48</v>
      </c>
    </row>
    <row r="861" spans="3:20" ht="20.25" customHeight="1">
      <c r="C861" s="96">
        <f>D861</f>
        <v>861</v>
      </c>
      <c r="D861" s="102">
        <f t="shared" si="273"/>
        <v>861</v>
      </c>
      <c r="E861" s="103" t="s">
        <v>277</v>
      </c>
      <c r="F861" s="108">
        <f>D859</f>
        <v>859</v>
      </c>
      <c r="G861" s="105"/>
      <c r="H861" s="105"/>
      <c r="I861" s="104"/>
      <c r="J861" s="104"/>
      <c r="K861" s="118"/>
      <c r="L861" s="118"/>
      <c r="M861" s="119"/>
      <c r="N861" s="104"/>
      <c r="O861" s="120"/>
      <c r="P861" s="104"/>
      <c r="Q861" s="150"/>
      <c r="R861" s="148"/>
      <c r="S861" s="150"/>
      <c r="T861" s="149"/>
    </row>
    <row r="862" spans="3:20" ht="20.25" customHeight="1">
      <c r="C862" s="96"/>
      <c r="D862" s="102">
        <f t="shared" si="273"/>
        <v>862</v>
      </c>
      <c r="E862" s="106" t="s">
        <v>278</v>
      </c>
      <c r="F862" s="108">
        <f t="shared" ref="F862:F865" si="298">D861</f>
        <v>861</v>
      </c>
      <c r="G862" s="105" t="s">
        <v>224</v>
      </c>
      <c r="H862" s="105"/>
      <c r="I862" s="104">
        <v>18</v>
      </c>
      <c r="J862" s="104" t="s">
        <v>279</v>
      </c>
      <c r="K862" s="118">
        <v>1</v>
      </c>
      <c r="L862" s="118" t="s">
        <v>81</v>
      </c>
      <c r="M862" s="128">
        <f>LEFT(J862,SEARCH(" ",J862,1)-1)*K862*0.001</f>
        <v>2.5</v>
      </c>
      <c r="N862" s="104" t="s">
        <v>139</v>
      </c>
      <c r="O862" s="162">
        <f>VLOOKUP(I862,BM!$B$3:$Y$62,5,FALSE)</f>
        <v>0.5</v>
      </c>
      <c r="P862" s="104" t="s">
        <v>112</v>
      </c>
      <c r="Q862" s="150">
        <f t="shared" ref="Q862:Q865" si="299">M862*O862</f>
        <v>1.25</v>
      </c>
      <c r="R862" s="148">
        <v>1</v>
      </c>
      <c r="S862" s="150">
        <f t="shared" ref="S862:S865" si="300">Q862+R862</f>
        <v>2.25</v>
      </c>
      <c r="T862" s="149" t="s">
        <v>48</v>
      </c>
    </row>
    <row r="863" spans="3:20" ht="20.25" customHeight="1">
      <c r="C863" s="96"/>
      <c r="D863" s="102">
        <f t="shared" si="273"/>
        <v>863</v>
      </c>
      <c r="E863" s="106" t="s">
        <v>278</v>
      </c>
      <c r="F863" s="108">
        <f t="shared" si="298"/>
        <v>862</v>
      </c>
      <c r="G863" s="105" t="s">
        <v>224</v>
      </c>
      <c r="H863" s="105"/>
      <c r="I863" s="108">
        <f>I862</f>
        <v>18</v>
      </c>
      <c r="J863" s="108" t="s">
        <v>279</v>
      </c>
      <c r="K863" s="118">
        <v>1</v>
      </c>
      <c r="L863" s="118" t="s">
        <v>81</v>
      </c>
      <c r="M863" s="128">
        <f>LEFT(J863,SEARCH(" ",J863,1)-1)*K863*0.001</f>
        <v>2.5</v>
      </c>
      <c r="N863" s="104" t="s">
        <v>139</v>
      </c>
      <c r="O863" s="162">
        <f>VLOOKUP(I863,BM!$B$3:$Y$62,5,FALSE)</f>
        <v>0.5</v>
      </c>
      <c r="P863" s="104" t="s">
        <v>112</v>
      </c>
      <c r="Q863" s="150">
        <f t="shared" si="299"/>
        <v>1.25</v>
      </c>
      <c r="R863" s="148">
        <v>1</v>
      </c>
      <c r="S863" s="150">
        <f t="shared" si="300"/>
        <v>2.25</v>
      </c>
      <c r="T863" s="149" t="s">
        <v>48</v>
      </c>
    </row>
    <row r="864" spans="3:20" ht="20.25" customHeight="1">
      <c r="C864" s="96"/>
      <c r="D864" s="102">
        <f t="shared" si="273"/>
        <v>864</v>
      </c>
      <c r="E864" s="106" t="s">
        <v>278</v>
      </c>
      <c r="F864" s="108">
        <f t="shared" si="298"/>
        <v>863</v>
      </c>
      <c r="G864" s="105" t="s">
        <v>224</v>
      </c>
      <c r="H864" s="105"/>
      <c r="I864" s="108">
        <f>I863</f>
        <v>18</v>
      </c>
      <c r="J864" s="140" t="s">
        <v>280</v>
      </c>
      <c r="K864" s="118">
        <v>1</v>
      </c>
      <c r="L864" s="118" t="s">
        <v>81</v>
      </c>
      <c r="M864" s="128">
        <f t="shared" ref="M864:M865" si="301">LEFT(J864,SEARCH(" ",J864,1)-1)*K864*0.001</f>
        <v>1.25</v>
      </c>
      <c r="N864" s="104" t="s">
        <v>139</v>
      </c>
      <c r="O864" s="162">
        <f>VLOOKUP(I864,BM!$B$3:$Y$62,5,FALSE)</f>
        <v>0.5</v>
      </c>
      <c r="P864" s="104" t="s">
        <v>112</v>
      </c>
      <c r="Q864" s="150">
        <f t="shared" si="299"/>
        <v>0.625</v>
      </c>
      <c r="R864" s="148">
        <v>1</v>
      </c>
      <c r="S864" s="150">
        <f t="shared" si="300"/>
        <v>1.625</v>
      </c>
      <c r="T864" s="149" t="s">
        <v>48</v>
      </c>
    </row>
    <row r="865" spans="3:20" ht="20.25" customHeight="1">
      <c r="C865" s="96"/>
      <c r="D865" s="102">
        <f t="shared" si="273"/>
        <v>865</v>
      </c>
      <c r="E865" s="106" t="s">
        <v>278</v>
      </c>
      <c r="F865" s="108">
        <f t="shared" si="298"/>
        <v>864</v>
      </c>
      <c r="G865" s="105" t="s">
        <v>224</v>
      </c>
      <c r="H865" s="105"/>
      <c r="I865" s="108">
        <f>I864</f>
        <v>18</v>
      </c>
      <c r="J865" s="140" t="s">
        <v>281</v>
      </c>
      <c r="K865" s="118">
        <v>1</v>
      </c>
      <c r="L865" s="118" t="s">
        <v>81</v>
      </c>
      <c r="M865" s="128">
        <f t="shared" si="301"/>
        <v>0</v>
      </c>
      <c r="N865" s="104" t="s">
        <v>139</v>
      </c>
      <c r="O865" s="162">
        <f>VLOOKUP(I865,BM!$B$3:$Y$62,5,FALSE)</f>
        <v>0.5</v>
      </c>
      <c r="P865" s="104" t="s">
        <v>112</v>
      </c>
      <c r="Q865" s="150">
        <f t="shared" si="299"/>
        <v>0</v>
      </c>
      <c r="R865" s="148"/>
      <c r="S865" s="150">
        <f t="shared" si="300"/>
        <v>0</v>
      </c>
      <c r="T865" s="149" t="s">
        <v>48</v>
      </c>
    </row>
    <row r="866" spans="3:20" ht="20.25" customHeight="1">
      <c r="C866" s="96">
        <f>D866</f>
        <v>866</v>
      </c>
      <c r="D866" s="102">
        <f t="shared" si="273"/>
        <v>866</v>
      </c>
      <c r="E866" s="103" t="s">
        <v>753</v>
      </c>
      <c r="F866" s="108">
        <f>D861</f>
        <v>861</v>
      </c>
      <c r="G866" s="105"/>
      <c r="H866" s="105"/>
      <c r="I866" s="104"/>
      <c r="J866" s="104"/>
      <c r="K866" s="118"/>
      <c r="L866" s="118"/>
      <c r="M866" s="119"/>
      <c r="N866" s="104"/>
      <c r="O866" s="120"/>
      <c r="P866" s="104"/>
      <c r="Q866" s="150"/>
      <c r="R866" s="148"/>
      <c r="S866" s="150"/>
      <c r="T866" s="149"/>
    </row>
    <row r="867" spans="3:20" ht="20.25" customHeight="1">
      <c r="C867" s="96"/>
      <c r="D867" s="102">
        <f t="shared" si="273"/>
        <v>867</v>
      </c>
      <c r="E867" s="106" t="s">
        <v>283</v>
      </c>
      <c r="F867" s="108">
        <f t="shared" ref="F867:F870" si="302">D866</f>
        <v>866</v>
      </c>
      <c r="G867" s="105" t="s">
        <v>121</v>
      </c>
      <c r="H867" s="105"/>
      <c r="I867" s="108">
        <f>I865</f>
        <v>18</v>
      </c>
      <c r="J867" s="108" t="str">
        <f t="shared" ref="J867:K867" si="303">J862</f>
        <v>2500 mm</v>
      </c>
      <c r="K867" s="164">
        <f t="shared" si="303"/>
        <v>1</v>
      </c>
      <c r="L867" s="118" t="s">
        <v>81</v>
      </c>
      <c r="M867" s="128">
        <f t="shared" ref="M867:M870" si="304">LEFT(J867,SEARCH(" ",J867,1)-1)*K867*0.001</f>
        <v>2.5</v>
      </c>
      <c r="N867" s="104" t="s">
        <v>139</v>
      </c>
      <c r="O867" s="162">
        <f>VLOOKUP(I867,BM!$B$3:$Y$62,6,FALSE)</f>
        <v>1</v>
      </c>
      <c r="P867" s="104" t="s">
        <v>112</v>
      </c>
      <c r="Q867" s="150">
        <f t="shared" ref="Q867:Q870" si="305">M867*O867</f>
        <v>2.5</v>
      </c>
      <c r="R867" s="148">
        <v>1</v>
      </c>
      <c r="S867" s="150">
        <f t="shared" ref="S867:S870" si="306">Q867+R867</f>
        <v>3.5</v>
      </c>
      <c r="T867" s="149" t="s">
        <v>48</v>
      </c>
    </row>
    <row r="868" spans="3:20" ht="20.25" customHeight="1">
      <c r="C868" s="96"/>
      <c r="D868" s="102">
        <f t="shared" si="273"/>
        <v>868</v>
      </c>
      <c r="E868" s="106" t="s">
        <v>283</v>
      </c>
      <c r="F868" s="108">
        <f t="shared" si="302"/>
        <v>867</v>
      </c>
      <c r="G868" s="105" t="s">
        <v>121</v>
      </c>
      <c r="H868" s="105"/>
      <c r="I868" s="108">
        <f>I865</f>
        <v>18</v>
      </c>
      <c r="J868" s="108" t="str">
        <f t="shared" ref="J868:K868" si="307">J863</f>
        <v>2500 mm</v>
      </c>
      <c r="K868" s="164">
        <f t="shared" si="307"/>
        <v>1</v>
      </c>
      <c r="L868" s="118" t="s">
        <v>81</v>
      </c>
      <c r="M868" s="128">
        <f t="shared" si="304"/>
        <v>2.5</v>
      </c>
      <c r="N868" s="104" t="s">
        <v>139</v>
      </c>
      <c r="O868" s="162">
        <f>VLOOKUP(I868,BM!$B$3:$Y$62,6,FALSE)</f>
        <v>1</v>
      </c>
      <c r="P868" s="104" t="s">
        <v>112</v>
      </c>
      <c r="Q868" s="150">
        <f t="shared" si="305"/>
        <v>2.5</v>
      </c>
      <c r="R868" s="148">
        <v>1</v>
      </c>
      <c r="S868" s="150">
        <f t="shared" si="306"/>
        <v>3.5</v>
      </c>
      <c r="T868" s="149" t="s">
        <v>48</v>
      </c>
    </row>
    <row r="869" spans="3:20" ht="20.25" customHeight="1">
      <c r="C869" s="96"/>
      <c r="D869" s="102">
        <f t="shared" si="273"/>
        <v>869</v>
      </c>
      <c r="E869" s="106" t="s">
        <v>283</v>
      </c>
      <c r="F869" s="108">
        <f t="shared" si="302"/>
        <v>868</v>
      </c>
      <c r="G869" s="105" t="s">
        <v>121</v>
      </c>
      <c r="H869" s="105"/>
      <c r="I869" s="108">
        <f>I865</f>
        <v>18</v>
      </c>
      <c r="J869" s="108" t="str">
        <f t="shared" ref="J869:K869" si="308">J864</f>
        <v>1250 mm</v>
      </c>
      <c r="K869" s="164">
        <f t="shared" si="308"/>
        <v>1</v>
      </c>
      <c r="L869" s="118" t="s">
        <v>81</v>
      </c>
      <c r="M869" s="128">
        <f t="shared" si="304"/>
        <v>1.25</v>
      </c>
      <c r="N869" s="104" t="s">
        <v>139</v>
      </c>
      <c r="O869" s="162">
        <f>VLOOKUP(I869,BM!$B$3:$Y$62,6,FALSE)</f>
        <v>1</v>
      </c>
      <c r="P869" s="104" t="s">
        <v>112</v>
      </c>
      <c r="Q869" s="150">
        <f t="shared" si="305"/>
        <v>1.25</v>
      </c>
      <c r="R869" s="148">
        <v>1</v>
      </c>
      <c r="S869" s="150">
        <f t="shared" si="306"/>
        <v>2.25</v>
      </c>
      <c r="T869" s="149" t="s">
        <v>48</v>
      </c>
    </row>
    <row r="870" spans="3:20" ht="20.25" customHeight="1">
      <c r="C870" s="96"/>
      <c r="D870" s="102">
        <f t="shared" si="273"/>
        <v>870</v>
      </c>
      <c r="E870" s="106" t="s">
        <v>283</v>
      </c>
      <c r="F870" s="108">
        <f t="shared" si="302"/>
        <v>869</v>
      </c>
      <c r="G870" s="105" t="s">
        <v>121</v>
      </c>
      <c r="H870" s="105"/>
      <c r="I870" s="108">
        <f>I865</f>
        <v>18</v>
      </c>
      <c r="J870" s="108" t="str">
        <f t="shared" ref="J870:K870" si="309">J865</f>
        <v>0 mm</v>
      </c>
      <c r="K870" s="164">
        <f t="shared" si="309"/>
        <v>1</v>
      </c>
      <c r="L870" s="118" t="s">
        <v>81</v>
      </c>
      <c r="M870" s="128">
        <f t="shared" si="304"/>
        <v>0</v>
      </c>
      <c r="N870" s="104" t="s">
        <v>139</v>
      </c>
      <c r="O870" s="162">
        <f>VLOOKUP(I870,BM!$B$3:$Y$62,6,FALSE)</f>
        <v>1</v>
      </c>
      <c r="P870" s="104" t="s">
        <v>112</v>
      </c>
      <c r="Q870" s="150">
        <f t="shared" si="305"/>
        <v>0</v>
      </c>
      <c r="R870" s="148">
        <v>1</v>
      </c>
      <c r="S870" s="150">
        <f t="shared" si="306"/>
        <v>1</v>
      </c>
      <c r="T870" s="149" t="s">
        <v>48</v>
      </c>
    </row>
    <row r="871" spans="3:20" ht="20.25" customHeight="1">
      <c r="C871" s="96">
        <f>D871</f>
        <v>871</v>
      </c>
      <c r="D871" s="102">
        <f t="shared" si="273"/>
        <v>871</v>
      </c>
      <c r="E871" s="103" t="s">
        <v>754</v>
      </c>
      <c r="F871" s="108">
        <f>D866</f>
        <v>866</v>
      </c>
      <c r="G871" s="105"/>
      <c r="H871" s="105"/>
      <c r="I871" s="104"/>
      <c r="J871" s="104"/>
      <c r="K871" s="118"/>
      <c r="L871" s="118"/>
      <c r="M871" s="119"/>
      <c r="N871" s="104"/>
      <c r="O871" s="120"/>
      <c r="P871" s="104"/>
      <c r="Q871" s="150"/>
      <c r="R871" s="148"/>
      <c r="S871" s="150"/>
      <c r="T871" s="149"/>
    </row>
    <row r="872" spans="3:20" ht="20.25" customHeight="1">
      <c r="C872" s="96"/>
      <c r="D872" s="102">
        <f t="shared" si="273"/>
        <v>872</v>
      </c>
      <c r="E872" s="106" t="s">
        <v>285</v>
      </c>
      <c r="F872" s="108">
        <f t="shared" ref="F872:F875" si="310">D871</f>
        <v>871</v>
      </c>
      <c r="G872" s="105" t="s">
        <v>286</v>
      </c>
      <c r="H872" s="105"/>
      <c r="I872" s="108">
        <f>I870</f>
        <v>18</v>
      </c>
      <c r="J872" s="108" t="str">
        <f t="shared" ref="J872:K872" si="311">J867</f>
        <v>2500 mm</v>
      </c>
      <c r="K872" s="164">
        <f t="shared" si="311"/>
        <v>1</v>
      </c>
      <c r="L872" s="118" t="s">
        <v>81</v>
      </c>
      <c r="M872" s="128">
        <v>1</v>
      </c>
      <c r="N872" s="104" t="s">
        <v>39</v>
      </c>
      <c r="O872" s="120">
        <v>3</v>
      </c>
      <c r="P872" s="104" t="s">
        <v>112</v>
      </c>
      <c r="Q872" s="150">
        <f t="shared" ref="Q872:Q875" si="312">M872*O872</f>
        <v>3</v>
      </c>
      <c r="R872" s="148">
        <v>1</v>
      </c>
      <c r="S872" s="150">
        <f t="shared" ref="S872:S875" si="313">Q872+R872</f>
        <v>4</v>
      </c>
      <c r="T872" s="149" t="s">
        <v>48</v>
      </c>
    </row>
    <row r="873" spans="3:20" ht="20.25" customHeight="1">
      <c r="C873" s="96"/>
      <c r="D873" s="102">
        <f t="shared" si="273"/>
        <v>873</v>
      </c>
      <c r="E873" s="106" t="s">
        <v>285</v>
      </c>
      <c r="F873" s="108">
        <f t="shared" si="310"/>
        <v>872</v>
      </c>
      <c r="G873" s="105" t="s">
        <v>286</v>
      </c>
      <c r="H873" s="105"/>
      <c r="I873" s="108">
        <f>I870</f>
        <v>18</v>
      </c>
      <c r="J873" s="108" t="str">
        <f t="shared" ref="J873:K873" si="314">J868</f>
        <v>2500 mm</v>
      </c>
      <c r="K873" s="164">
        <f t="shared" si="314"/>
        <v>1</v>
      </c>
      <c r="L873" s="118" t="s">
        <v>81</v>
      </c>
      <c r="M873" s="128">
        <v>1</v>
      </c>
      <c r="N873" s="104" t="str">
        <f>N872</f>
        <v>No</v>
      </c>
      <c r="O873" s="162">
        <v>3</v>
      </c>
      <c r="P873" s="104" t="s">
        <v>112</v>
      </c>
      <c r="Q873" s="150">
        <f t="shared" si="312"/>
        <v>3</v>
      </c>
      <c r="R873" s="148">
        <v>1</v>
      </c>
      <c r="S873" s="150">
        <f t="shared" si="313"/>
        <v>4</v>
      </c>
      <c r="T873" s="149" t="s">
        <v>48</v>
      </c>
    </row>
    <row r="874" spans="3:20" ht="20.25" customHeight="1">
      <c r="C874" s="96"/>
      <c r="D874" s="102">
        <f t="shared" si="273"/>
        <v>874</v>
      </c>
      <c r="E874" s="106" t="s">
        <v>285</v>
      </c>
      <c r="F874" s="108">
        <f t="shared" si="310"/>
        <v>873</v>
      </c>
      <c r="G874" s="105" t="s">
        <v>286</v>
      </c>
      <c r="H874" s="105"/>
      <c r="I874" s="108">
        <f>I870</f>
        <v>18</v>
      </c>
      <c r="J874" s="108" t="str">
        <f t="shared" ref="J874:K874" si="315">J869</f>
        <v>1250 mm</v>
      </c>
      <c r="K874" s="164">
        <f t="shared" si="315"/>
        <v>1</v>
      </c>
      <c r="L874" s="118" t="s">
        <v>81</v>
      </c>
      <c r="M874" s="128">
        <v>1</v>
      </c>
      <c r="N874" s="104" t="str">
        <f>N873</f>
        <v>No</v>
      </c>
      <c r="O874" s="162">
        <v>3</v>
      </c>
      <c r="P874" s="104" t="s">
        <v>112</v>
      </c>
      <c r="Q874" s="150">
        <f t="shared" si="312"/>
        <v>3</v>
      </c>
      <c r="R874" s="148">
        <v>1</v>
      </c>
      <c r="S874" s="150">
        <f t="shared" si="313"/>
        <v>4</v>
      </c>
      <c r="T874" s="149" t="s">
        <v>48</v>
      </c>
    </row>
    <row r="875" spans="3:20" ht="20.25" customHeight="1">
      <c r="C875" s="96"/>
      <c r="D875" s="102">
        <f t="shared" si="273"/>
        <v>875</v>
      </c>
      <c r="E875" s="106" t="s">
        <v>285</v>
      </c>
      <c r="F875" s="108">
        <f t="shared" si="310"/>
        <v>874</v>
      </c>
      <c r="G875" s="105" t="s">
        <v>286</v>
      </c>
      <c r="H875" s="105"/>
      <c r="I875" s="108">
        <f>I870</f>
        <v>18</v>
      </c>
      <c r="J875" s="108" t="str">
        <f t="shared" ref="J875" si="316">J870</f>
        <v>0 mm</v>
      </c>
      <c r="K875" s="164">
        <v>0</v>
      </c>
      <c r="L875" s="118" t="s">
        <v>81</v>
      </c>
      <c r="M875" s="128">
        <v>0</v>
      </c>
      <c r="N875" s="104" t="str">
        <f>N874</f>
        <v>No</v>
      </c>
      <c r="O875" s="162">
        <v>0</v>
      </c>
      <c r="P875" s="104" t="s">
        <v>112</v>
      </c>
      <c r="Q875" s="150">
        <f t="shared" si="312"/>
        <v>0</v>
      </c>
      <c r="R875" s="148"/>
      <c r="S875" s="150">
        <f t="shared" si="313"/>
        <v>0</v>
      </c>
      <c r="T875" s="149" t="s">
        <v>48</v>
      </c>
    </row>
    <row r="876" spans="3:20" ht="20.25" customHeight="1">
      <c r="C876" s="96">
        <f>D876</f>
        <v>876</v>
      </c>
      <c r="D876" s="102">
        <f t="shared" si="273"/>
        <v>876</v>
      </c>
      <c r="E876" s="103" t="s">
        <v>755</v>
      </c>
      <c r="F876" s="108">
        <f>D871</f>
        <v>871</v>
      </c>
      <c r="G876" s="105"/>
      <c r="H876" s="105"/>
      <c r="I876" s="104"/>
      <c r="J876" s="104"/>
      <c r="K876" s="118"/>
      <c r="L876" s="118"/>
      <c r="M876" s="119"/>
      <c r="N876" s="104"/>
      <c r="O876" s="120"/>
      <c r="P876" s="104"/>
      <c r="Q876" s="150"/>
      <c r="R876" s="148"/>
      <c r="S876" s="150"/>
      <c r="T876" s="149"/>
    </row>
    <row r="877" spans="3:20" ht="20.25" customHeight="1">
      <c r="C877" s="96"/>
      <c r="D877" s="102">
        <f t="shared" si="273"/>
        <v>877</v>
      </c>
      <c r="E877" s="106" t="s">
        <v>288</v>
      </c>
      <c r="F877" s="108">
        <f t="shared" ref="F877:F880" si="317">D876</f>
        <v>876</v>
      </c>
      <c r="G877" s="105" t="s">
        <v>289</v>
      </c>
      <c r="H877" s="105"/>
      <c r="I877" s="108">
        <f>I875</f>
        <v>18</v>
      </c>
      <c r="J877" s="108" t="str">
        <f>J872</f>
        <v>2500 mm</v>
      </c>
      <c r="K877" s="118">
        <v>1</v>
      </c>
      <c r="L877" s="118" t="s">
        <v>81</v>
      </c>
      <c r="M877" s="142">
        <v>1</v>
      </c>
      <c r="N877" s="104" t="s">
        <v>81</v>
      </c>
      <c r="O877" s="162">
        <v>3</v>
      </c>
      <c r="P877" s="104" t="s">
        <v>112</v>
      </c>
      <c r="Q877" s="150">
        <f t="shared" ref="Q877:Q880" si="318">M877*O877</f>
        <v>3</v>
      </c>
      <c r="R877" s="148">
        <v>1</v>
      </c>
      <c r="S877" s="150">
        <f t="shared" ref="S877:S880" si="319">Q877+R877</f>
        <v>4</v>
      </c>
      <c r="T877" s="149" t="s">
        <v>48</v>
      </c>
    </row>
    <row r="878" spans="3:20" ht="20.25" customHeight="1">
      <c r="C878" s="96"/>
      <c r="D878" s="102">
        <f t="shared" si="273"/>
        <v>878</v>
      </c>
      <c r="E878" s="106" t="s">
        <v>288</v>
      </c>
      <c r="F878" s="108">
        <f t="shared" si="317"/>
        <v>877</v>
      </c>
      <c r="G878" s="105" t="s">
        <v>289</v>
      </c>
      <c r="H878" s="105"/>
      <c r="I878" s="108">
        <f>I875</f>
        <v>18</v>
      </c>
      <c r="J878" s="108" t="str">
        <f>J873</f>
        <v>2500 mm</v>
      </c>
      <c r="K878" s="118">
        <v>1</v>
      </c>
      <c r="L878" s="118" t="s">
        <v>81</v>
      </c>
      <c r="M878" s="142">
        <v>1</v>
      </c>
      <c r="N878" s="104" t="s">
        <v>81</v>
      </c>
      <c r="O878" s="162">
        <v>3</v>
      </c>
      <c r="P878" s="104" t="s">
        <v>112</v>
      </c>
      <c r="Q878" s="150">
        <f t="shared" si="318"/>
        <v>3</v>
      </c>
      <c r="R878" s="148">
        <v>1</v>
      </c>
      <c r="S878" s="150">
        <f t="shared" si="319"/>
        <v>4</v>
      </c>
      <c r="T878" s="149" t="s">
        <v>48</v>
      </c>
    </row>
    <row r="879" spans="3:20" ht="20.25" customHeight="1">
      <c r="C879" s="96"/>
      <c r="D879" s="102">
        <f t="shared" si="273"/>
        <v>879</v>
      </c>
      <c r="E879" s="106" t="s">
        <v>288</v>
      </c>
      <c r="F879" s="108">
        <f t="shared" si="317"/>
        <v>878</v>
      </c>
      <c r="G879" s="105" t="s">
        <v>289</v>
      </c>
      <c r="H879" s="105"/>
      <c r="I879" s="108">
        <f>I875</f>
        <v>18</v>
      </c>
      <c r="J879" s="108" t="str">
        <f>J874</f>
        <v>1250 mm</v>
      </c>
      <c r="K879" s="118">
        <v>1</v>
      </c>
      <c r="L879" s="118" t="s">
        <v>81</v>
      </c>
      <c r="M879" s="142">
        <v>1</v>
      </c>
      <c r="N879" s="104" t="s">
        <v>81</v>
      </c>
      <c r="O879" s="162">
        <v>3</v>
      </c>
      <c r="P879" s="104" t="s">
        <v>112</v>
      </c>
      <c r="Q879" s="150">
        <f t="shared" si="318"/>
        <v>3</v>
      </c>
      <c r="R879" s="148">
        <v>1</v>
      </c>
      <c r="S879" s="150">
        <f t="shared" si="319"/>
        <v>4</v>
      </c>
      <c r="T879" s="149" t="s">
        <v>48</v>
      </c>
    </row>
    <row r="880" spans="3:20" ht="20.25" customHeight="1">
      <c r="C880" s="96"/>
      <c r="D880" s="102">
        <f t="shared" si="273"/>
        <v>880</v>
      </c>
      <c r="E880" s="106" t="s">
        <v>288</v>
      </c>
      <c r="F880" s="108">
        <f t="shared" si="317"/>
        <v>879</v>
      </c>
      <c r="G880" s="105" t="s">
        <v>289</v>
      </c>
      <c r="H880" s="105"/>
      <c r="I880" s="108">
        <f>I875</f>
        <v>18</v>
      </c>
      <c r="J880" s="108" t="str">
        <f>J875</f>
        <v>0 mm</v>
      </c>
      <c r="K880" s="118">
        <v>1</v>
      </c>
      <c r="L880" s="118" t="s">
        <v>81</v>
      </c>
      <c r="M880" s="142">
        <v>0</v>
      </c>
      <c r="N880" s="104" t="s">
        <v>81</v>
      </c>
      <c r="O880" s="162">
        <v>3</v>
      </c>
      <c r="P880" s="104" t="s">
        <v>112</v>
      </c>
      <c r="Q880" s="150">
        <f t="shared" si="318"/>
        <v>0</v>
      </c>
      <c r="R880" s="148">
        <v>1</v>
      </c>
      <c r="S880" s="150">
        <f t="shared" si="319"/>
        <v>1</v>
      </c>
      <c r="T880" s="149" t="s">
        <v>48</v>
      </c>
    </row>
    <row r="881" spans="3:20" ht="20.25" customHeight="1">
      <c r="C881" s="96">
        <f>D881</f>
        <v>881</v>
      </c>
      <c r="D881" s="102">
        <f t="shared" si="273"/>
        <v>881</v>
      </c>
      <c r="E881" s="103" t="s">
        <v>756</v>
      </c>
      <c r="F881" s="108">
        <f>D876</f>
        <v>876</v>
      </c>
      <c r="G881" s="105"/>
      <c r="H881" s="105"/>
      <c r="I881" s="104"/>
      <c r="J881" s="104"/>
      <c r="K881" s="118"/>
      <c r="L881" s="118"/>
      <c r="M881" s="119"/>
      <c r="N881" s="104"/>
      <c r="O881" s="120"/>
      <c r="P881" s="104"/>
      <c r="Q881" s="150"/>
      <c r="R881" s="148"/>
      <c r="S881" s="150"/>
      <c r="T881" s="149"/>
    </row>
    <row r="882" spans="3:20" ht="20.25" customHeight="1">
      <c r="C882" s="96"/>
      <c r="D882" s="102">
        <f t="shared" si="273"/>
        <v>882</v>
      </c>
      <c r="E882" s="106" t="s">
        <v>291</v>
      </c>
      <c r="F882" s="108">
        <f t="shared" ref="F882:F885" si="320">D881</f>
        <v>881</v>
      </c>
      <c r="G882" s="105" t="s">
        <v>44</v>
      </c>
      <c r="H882" s="105"/>
      <c r="I882" s="108">
        <f>I880</f>
        <v>18</v>
      </c>
      <c r="J882" s="108" t="str">
        <f>J877</f>
        <v>2500 mm</v>
      </c>
      <c r="K882" s="118">
        <v>1</v>
      </c>
      <c r="L882" s="118" t="s">
        <v>81</v>
      </c>
      <c r="M882" s="128">
        <f t="shared" ref="M882:M885" si="321">LEFT(J882,SEARCH(" ",J882,1)-1)*K882*0.001</f>
        <v>2.5</v>
      </c>
      <c r="N882" s="104" t="s">
        <v>139</v>
      </c>
      <c r="O882" s="162">
        <f>VLOOKUP(I882,BM!$B$3:$Y$62,9,FALSE)</f>
        <v>1</v>
      </c>
      <c r="P882" s="104" t="s">
        <v>112</v>
      </c>
      <c r="Q882" s="150">
        <f t="shared" ref="Q882:Q885" si="322">M882*O882</f>
        <v>2.5</v>
      </c>
      <c r="R882" s="148">
        <v>1</v>
      </c>
      <c r="S882" s="150">
        <f t="shared" ref="S882:S885" si="323">Q882+R882</f>
        <v>3.5</v>
      </c>
      <c r="T882" s="149" t="s">
        <v>48</v>
      </c>
    </row>
    <row r="883" spans="3:20" ht="20.25" customHeight="1">
      <c r="C883" s="96"/>
      <c r="D883" s="102">
        <f t="shared" si="273"/>
        <v>883</v>
      </c>
      <c r="E883" s="106" t="s">
        <v>291</v>
      </c>
      <c r="F883" s="108">
        <f t="shared" si="320"/>
        <v>882</v>
      </c>
      <c r="G883" s="105" t="s">
        <v>44</v>
      </c>
      <c r="H883" s="105"/>
      <c r="I883" s="108">
        <f>I880</f>
        <v>18</v>
      </c>
      <c r="J883" s="108" t="str">
        <f>J878</f>
        <v>2500 mm</v>
      </c>
      <c r="K883" s="118">
        <v>1</v>
      </c>
      <c r="L883" s="118" t="s">
        <v>81</v>
      </c>
      <c r="M883" s="128">
        <f t="shared" si="321"/>
        <v>2.5</v>
      </c>
      <c r="N883" s="104" t="s">
        <v>139</v>
      </c>
      <c r="O883" s="162">
        <f>VLOOKUP(I883,BM!$B$3:$Y$62,9,FALSE)</f>
        <v>1</v>
      </c>
      <c r="P883" s="104" t="s">
        <v>112</v>
      </c>
      <c r="Q883" s="150">
        <f t="shared" si="322"/>
        <v>2.5</v>
      </c>
      <c r="R883" s="148">
        <v>1</v>
      </c>
      <c r="S883" s="150">
        <f t="shared" si="323"/>
        <v>3.5</v>
      </c>
      <c r="T883" s="149" t="s">
        <v>48</v>
      </c>
    </row>
    <row r="884" spans="3:20" ht="20.25" customHeight="1">
      <c r="C884" s="96"/>
      <c r="D884" s="102">
        <f t="shared" si="273"/>
        <v>884</v>
      </c>
      <c r="E884" s="106" t="s">
        <v>291</v>
      </c>
      <c r="F884" s="108">
        <f t="shared" si="320"/>
        <v>883</v>
      </c>
      <c r="G884" s="105" t="s">
        <v>44</v>
      </c>
      <c r="H884" s="105"/>
      <c r="I884" s="108">
        <f>I880</f>
        <v>18</v>
      </c>
      <c r="J884" s="108" t="str">
        <f>J879</f>
        <v>1250 mm</v>
      </c>
      <c r="K884" s="118">
        <v>1</v>
      </c>
      <c r="L884" s="118" t="s">
        <v>81</v>
      </c>
      <c r="M884" s="128">
        <f t="shared" si="321"/>
        <v>1.25</v>
      </c>
      <c r="N884" s="104" t="s">
        <v>139</v>
      </c>
      <c r="O884" s="162">
        <f>VLOOKUP(I884,BM!$B$3:$Y$62,9,FALSE)</f>
        <v>1</v>
      </c>
      <c r="P884" s="104" t="s">
        <v>112</v>
      </c>
      <c r="Q884" s="150">
        <f t="shared" si="322"/>
        <v>1.25</v>
      </c>
      <c r="R884" s="148">
        <v>1</v>
      </c>
      <c r="S884" s="150">
        <f t="shared" si="323"/>
        <v>2.25</v>
      </c>
      <c r="T884" s="149" t="s">
        <v>48</v>
      </c>
    </row>
    <row r="885" spans="3:20" ht="20.25" customHeight="1">
      <c r="C885" s="96"/>
      <c r="D885" s="102">
        <f t="shared" si="273"/>
        <v>885</v>
      </c>
      <c r="E885" s="106" t="s">
        <v>291</v>
      </c>
      <c r="F885" s="108">
        <f t="shared" si="320"/>
        <v>884</v>
      </c>
      <c r="G885" s="105" t="s">
        <v>44</v>
      </c>
      <c r="H885" s="105"/>
      <c r="I885" s="108">
        <f>I880</f>
        <v>18</v>
      </c>
      <c r="J885" s="108" t="str">
        <f>J880</f>
        <v>0 mm</v>
      </c>
      <c r="K885" s="118">
        <v>1</v>
      </c>
      <c r="L885" s="118" t="s">
        <v>81</v>
      </c>
      <c r="M885" s="128">
        <f t="shared" si="321"/>
        <v>0</v>
      </c>
      <c r="N885" s="104" t="s">
        <v>139</v>
      </c>
      <c r="O885" s="162">
        <f>VLOOKUP(I885,BM!$B$3:$Y$62,9,FALSE)</f>
        <v>1</v>
      </c>
      <c r="P885" s="104" t="s">
        <v>112</v>
      </c>
      <c r="Q885" s="150">
        <f t="shared" si="322"/>
        <v>0</v>
      </c>
      <c r="R885" s="148">
        <v>1</v>
      </c>
      <c r="S885" s="150">
        <f t="shared" si="323"/>
        <v>1</v>
      </c>
      <c r="T885" s="149" t="s">
        <v>48</v>
      </c>
    </row>
    <row r="886" spans="3:20" ht="20.25" customHeight="1">
      <c r="C886" s="96">
        <f>D886</f>
        <v>886</v>
      </c>
      <c r="D886" s="102">
        <f t="shared" si="273"/>
        <v>886</v>
      </c>
      <c r="E886" s="103" t="s">
        <v>757</v>
      </c>
      <c r="F886" s="108">
        <f>D881</f>
        <v>881</v>
      </c>
      <c r="G886" s="105"/>
      <c r="H886" s="105"/>
      <c r="I886" s="104"/>
      <c r="J886" s="104"/>
      <c r="K886" s="118"/>
      <c r="L886" s="118"/>
      <c r="M886" s="119"/>
      <c r="N886" s="104"/>
      <c r="O886" s="120"/>
      <c r="P886" s="104"/>
      <c r="Q886" s="150"/>
      <c r="R886" s="148"/>
      <c r="S886" s="150"/>
      <c r="T886" s="149"/>
    </row>
    <row r="887" spans="3:20" ht="20.25" customHeight="1">
      <c r="C887" s="96"/>
      <c r="D887" s="102">
        <f t="shared" si="273"/>
        <v>887</v>
      </c>
      <c r="E887" s="106" t="s">
        <v>293</v>
      </c>
      <c r="F887" s="108">
        <f t="shared" ref="F887:F890" si="324">D886</f>
        <v>886</v>
      </c>
      <c r="G887" s="105" t="s">
        <v>286</v>
      </c>
      <c r="H887" s="105"/>
      <c r="I887" s="108">
        <f>I885</f>
        <v>18</v>
      </c>
      <c r="J887" s="108" t="str">
        <f>J882</f>
        <v>2500 mm</v>
      </c>
      <c r="K887" s="118">
        <v>1</v>
      </c>
      <c r="L887" s="118" t="s">
        <v>81</v>
      </c>
      <c r="M887" s="142">
        <f>K887</f>
        <v>1</v>
      </c>
      <c r="N887" s="104" t="s">
        <v>39</v>
      </c>
      <c r="O887" s="120">
        <v>3</v>
      </c>
      <c r="P887" s="104" t="s">
        <v>112</v>
      </c>
      <c r="Q887" s="150">
        <f t="shared" ref="Q887:Q900" si="325">M887*O887</f>
        <v>3</v>
      </c>
      <c r="R887" s="148">
        <v>1</v>
      </c>
      <c r="S887" s="150">
        <f t="shared" ref="S887:S900" si="326">Q887+R887</f>
        <v>4</v>
      </c>
      <c r="T887" s="149" t="s">
        <v>48</v>
      </c>
    </row>
    <row r="888" spans="3:20" ht="20.25" customHeight="1">
      <c r="C888" s="96"/>
      <c r="D888" s="102">
        <f t="shared" si="273"/>
        <v>888</v>
      </c>
      <c r="E888" s="106" t="s">
        <v>294</v>
      </c>
      <c r="F888" s="108">
        <f t="shared" si="324"/>
        <v>887</v>
      </c>
      <c r="G888" s="105" t="s">
        <v>286</v>
      </c>
      <c r="H888" s="105"/>
      <c r="I888" s="108">
        <f>I885</f>
        <v>18</v>
      </c>
      <c r="J888" s="108" t="str">
        <f>J883</f>
        <v>2500 mm</v>
      </c>
      <c r="K888" s="118">
        <v>1</v>
      </c>
      <c r="L888" s="118" t="s">
        <v>81</v>
      </c>
      <c r="M888" s="142">
        <f>K888</f>
        <v>1</v>
      </c>
      <c r="N888" s="104" t="s">
        <v>39</v>
      </c>
      <c r="O888" s="162">
        <f>O887</f>
        <v>3</v>
      </c>
      <c r="P888" s="104" t="s">
        <v>112</v>
      </c>
      <c r="Q888" s="150">
        <f t="shared" si="325"/>
        <v>3</v>
      </c>
      <c r="R888" s="148">
        <v>1</v>
      </c>
      <c r="S888" s="150">
        <f t="shared" si="326"/>
        <v>4</v>
      </c>
      <c r="T888" s="149" t="s">
        <v>48</v>
      </c>
    </row>
    <row r="889" spans="3:20" ht="20.25" customHeight="1">
      <c r="C889" s="96"/>
      <c r="D889" s="102">
        <f t="shared" si="273"/>
        <v>889</v>
      </c>
      <c r="E889" s="106" t="s">
        <v>294</v>
      </c>
      <c r="F889" s="108">
        <f t="shared" si="324"/>
        <v>888</v>
      </c>
      <c r="G889" s="105" t="s">
        <v>286</v>
      </c>
      <c r="H889" s="105"/>
      <c r="I889" s="108">
        <f>I885</f>
        <v>18</v>
      </c>
      <c r="J889" s="108" t="str">
        <f>J884</f>
        <v>1250 mm</v>
      </c>
      <c r="K889" s="118">
        <v>1</v>
      </c>
      <c r="L889" s="118" t="s">
        <v>81</v>
      </c>
      <c r="M889" s="142">
        <f>K889</f>
        <v>1</v>
      </c>
      <c r="N889" s="104" t="s">
        <v>39</v>
      </c>
      <c r="O889" s="162">
        <f>O888</f>
        <v>3</v>
      </c>
      <c r="P889" s="104" t="s">
        <v>112</v>
      </c>
      <c r="Q889" s="150">
        <f t="shared" si="325"/>
        <v>3</v>
      </c>
      <c r="R889" s="148">
        <v>1</v>
      </c>
      <c r="S889" s="150">
        <f t="shared" si="326"/>
        <v>4</v>
      </c>
      <c r="T889" s="149" t="s">
        <v>48</v>
      </c>
    </row>
    <row r="890" spans="3:20" ht="20.25" customHeight="1">
      <c r="C890" s="96"/>
      <c r="D890" s="102">
        <f t="shared" si="273"/>
        <v>890</v>
      </c>
      <c r="E890" s="106" t="s">
        <v>294</v>
      </c>
      <c r="F890" s="108">
        <f t="shared" si="324"/>
        <v>889</v>
      </c>
      <c r="G890" s="105" t="s">
        <v>286</v>
      </c>
      <c r="H890" s="105"/>
      <c r="I890" s="108">
        <f>I885</f>
        <v>18</v>
      </c>
      <c r="J890" s="108" t="str">
        <f>J885</f>
        <v>0 mm</v>
      </c>
      <c r="K890" s="118">
        <v>1</v>
      </c>
      <c r="L890" s="118" t="s">
        <v>81</v>
      </c>
      <c r="M890" s="142">
        <f>K890</f>
        <v>1</v>
      </c>
      <c r="N890" s="104" t="s">
        <v>39</v>
      </c>
      <c r="O890" s="162">
        <f>O889</f>
        <v>3</v>
      </c>
      <c r="P890" s="104" t="s">
        <v>112</v>
      </c>
      <c r="Q890" s="150">
        <f t="shared" si="325"/>
        <v>3</v>
      </c>
      <c r="R890" s="148">
        <v>1</v>
      </c>
      <c r="S890" s="150">
        <f t="shared" si="326"/>
        <v>4</v>
      </c>
      <c r="T890" s="149" t="s">
        <v>48</v>
      </c>
    </row>
    <row r="891" spans="3:20" ht="20.25" customHeight="1">
      <c r="C891" s="96">
        <f>D891</f>
        <v>891</v>
      </c>
      <c r="D891" s="102">
        <f t="shared" si="273"/>
        <v>891</v>
      </c>
      <c r="E891" s="103" t="s">
        <v>758</v>
      </c>
      <c r="F891" s="108">
        <f>D886</f>
        <v>886</v>
      </c>
      <c r="G891" s="105"/>
      <c r="H891" s="105"/>
      <c r="I891" s="104"/>
      <c r="J891" s="104"/>
      <c r="K891" s="118"/>
      <c r="L891" s="118"/>
      <c r="M891" s="119"/>
      <c r="N891" s="104"/>
      <c r="O891" s="120"/>
      <c r="P891" s="104"/>
      <c r="Q891" s="150">
        <f t="shared" si="325"/>
        <v>0</v>
      </c>
      <c r="R891" s="148"/>
      <c r="S891" s="150">
        <f t="shared" si="326"/>
        <v>0</v>
      </c>
      <c r="T891" s="149"/>
    </row>
    <row r="892" spans="3:20" ht="20.25" customHeight="1">
      <c r="C892" s="96"/>
      <c r="D892" s="102">
        <f t="shared" si="273"/>
        <v>892</v>
      </c>
      <c r="E892" s="106" t="s">
        <v>296</v>
      </c>
      <c r="F892" s="108">
        <f t="shared" ref="F892:F895" si="327">D891</f>
        <v>891</v>
      </c>
      <c r="G892" s="105" t="s">
        <v>201</v>
      </c>
      <c r="H892" s="105"/>
      <c r="I892" s="108">
        <f>I890</f>
        <v>18</v>
      </c>
      <c r="J892" s="108" t="str">
        <f>J887</f>
        <v>2500 mm</v>
      </c>
      <c r="K892" s="118">
        <v>1</v>
      </c>
      <c r="L892" s="118" t="s">
        <v>81</v>
      </c>
      <c r="M892" s="128">
        <f t="shared" ref="M892:M895" si="328">LEFT(J892,SEARCH(" ",J892,1)-1)*K892*0.001</f>
        <v>2.5</v>
      </c>
      <c r="N892" s="104" t="s">
        <v>139</v>
      </c>
      <c r="O892" s="162">
        <f>VLOOKUP(I892,BM!$B$3:$Y$62,9,FALSE)</f>
        <v>1</v>
      </c>
      <c r="P892" s="104" t="s">
        <v>112</v>
      </c>
      <c r="Q892" s="150">
        <f t="shared" si="325"/>
        <v>2.5</v>
      </c>
      <c r="R892" s="148">
        <v>1</v>
      </c>
      <c r="S892" s="150">
        <f t="shared" si="326"/>
        <v>3.5</v>
      </c>
      <c r="T892" s="149" t="s">
        <v>48</v>
      </c>
    </row>
    <row r="893" spans="3:20" ht="20.25" customHeight="1">
      <c r="C893" s="96"/>
      <c r="D893" s="102">
        <f t="shared" si="273"/>
        <v>893</v>
      </c>
      <c r="E893" s="106" t="s">
        <v>296</v>
      </c>
      <c r="F893" s="108">
        <f t="shared" si="327"/>
        <v>892</v>
      </c>
      <c r="G893" s="105" t="s">
        <v>201</v>
      </c>
      <c r="H893" s="105"/>
      <c r="I893" s="108">
        <f>I890</f>
        <v>18</v>
      </c>
      <c r="J893" s="108" t="str">
        <f>J888</f>
        <v>2500 mm</v>
      </c>
      <c r="K893" s="118">
        <v>1</v>
      </c>
      <c r="L893" s="118" t="s">
        <v>81</v>
      </c>
      <c r="M893" s="128">
        <f t="shared" si="328"/>
        <v>2.5</v>
      </c>
      <c r="N893" s="104" t="s">
        <v>139</v>
      </c>
      <c r="O893" s="162">
        <f>VLOOKUP(I893,BM!$B$3:$Y$62,9,FALSE)</f>
        <v>1</v>
      </c>
      <c r="P893" s="104" t="s">
        <v>112</v>
      </c>
      <c r="Q893" s="150">
        <f t="shared" si="325"/>
        <v>2.5</v>
      </c>
      <c r="R893" s="148">
        <v>1</v>
      </c>
      <c r="S893" s="150">
        <f t="shared" si="326"/>
        <v>3.5</v>
      </c>
      <c r="T893" s="149" t="s">
        <v>48</v>
      </c>
    </row>
    <row r="894" spans="3:20" ht="20.25" customHeight="1">
      <c r="C894" s="96"/>
      <c r="D894" s="102">
        <f t="shared" si="273"/>
        <v>894</v>
      </c>
      <c r="E894" s="106" t="s">
        <v>296</v>
      </c>
      <c r="F894" s="108">
        <f t="shared" si="327"/>
        <v>893</v>
      </c>
      <c r="G894" s="105" t="s">
        <v>201</v>
      </c>
      <c r="H894" s="105"/>
      <c r="I894" s="108">
        <f>I890</f>
        <v>18</v>
      </c>
      <c r="J894" s="108" t="str">
        <f>J889</f>
        <v>1250 mm</v>
      </c>
      <c r="K894" s="118">
        <v>1</v>
      </c>
      <c r="L894" s="118" t="s">
        <v>81</v>
      </c>
      <c r="M894" s="128">
        <f t="shared" si="328"/>
        <v>1.25</v>
      </c>
      <c r="N894" s="104" t="s">
        <v>139</v>
      </c>
      <c r="O894" s="162">
        <f>VLOOKUP(I894,BM!$B$3:$Y$62,9,FALSE)</f>
        <v>1</v>
      </c>
      <c r="P894" s="104" t="s">
        <v>112</v>
      </c>
      <c r="Q894" s="150">
        <f t="shared" si="325"/>
        <v>1.25</v>
      </c>
      <c r="R894" s="148">
        <v>1</v>
      </c>
      <c r="S894" s="150">
        <f t="shared" si="326"/>
        <v>2.25</v>
      </c>
      <c r="T894" s="149" t="s">
        <v>48</v>
      </c>
    </row>
    <row r="895" spans="3:20" ht="20.25" customHeight="1">
      <c r="C895" s="96"/>
      <c r="D895" s="102">
        <f t="shared" si="273"/>
        <v>895</v>
      </c>
      <c r="E895" s="106" t="s">
        <v>296</v>
      </c>
      <c r="F895" s="108">
        <f t="shared" si="327"/>
        <v>894</v>
      </c>
      <c r="G895" s="105" t="s">
        <v>201</v>
      </c>
      <c r="H895" s="105"/>
      <c r="I895" s="108">
        <f>I890</f>
        <v>18</v>
      </c>
      <c r="J895" s="108" t="str">
        <f>J890</f>
        <v>0 mm</v>
      </c>
      <c r="K895" s="118">
        <v>1</v>
      </c>
      <c r="L895" s="118" t="s">
        <v>81</v>
      </c>
      <c r="M895" s="128">
        <f t="shared" si="328"/>
        <v>0</v>
      </c>
      <c r="N895" s="104" t="s">
        <v>139</v>
      </c>
      <c r="O895" s="162">
        <f>VLOOKUP(I895,BM!$B$3:$Y$62,9,FALSE)</f>
        <v>1</v>
      </c>
      <c r="P895" s="104" t="s">
        <v>112</v>
      </c>
      <c r="Q895" s="150">
        <f t="shared" si="325"/>
        <v>0</v>
      </c>
      <c r="R895" s="148">
        <v>1</v>
      </c>
      <c r="S895" s="150">
        <f t="shared" si="326"/>
        <v>1</v>
      </c>
      <c r="T895" s="149" t="s">
        <v>48</v>
      </c>
    </row>
    <row r="896" spans="3:20" ht="20.25" customHeight="1">
      <c r="C896" s="96">
        <f>D896</f>
        <v>896</v>
      </c>
      <c r="D896" s="102">
        <f t="shared" si="273"/>
        <v>896</v>
      </c>
      <c r="E896" s="103" t="s">
        <v>759</v>
      </c>
      <c r="F896" s="108">
        <f>D891</f>
        <v>891</v>
      </c>
      <c r="G896" s="105"/>
      <c r="H896" s="105"/>
      <c r="I896" s="104"/>
      <c r="J896" s="104"/>
      <c r="K896" s="118"/>
      <c r="L896" s="118"/>
      <c r="M896" s="119"/>
      <c r="N896" s="104"/>
      <c r="O896" s="120"/>
      <c r="P896" s="104"/>
      <c r="Q896" s="150">
        <f t="shared" si="325"/>
        <v>0</v>
      </c>
      <c r="R896" s="148"/>
      <c r="S896" s="150">
        <f t="shared" si="326"/>
        <v>0</v>
      </c>
      <c r="T896" s="149"/>
    </row>
    <row r="897" spans="3:20" ht="20.25" customHeight="1">
      <c r="C897" s="96"/>
      <c r="D897" s="102">
        <f t="shared" si="273"/>
        <v>897</v>
      </c>
      <c r="E897" s="106" t="s">
        <v>298</v>
      </c>
      <c r="F897" s="108">
        <f t="shared" ref="F897:F900" si="329">D896</f>
        <v>896</v>
      </c>
      <c r="G897" s="105"/>
      <c r="H897" s="105"/>
      <c r="I897" s="108">
        <f>I895</f>
        <v>18</v>
      </c>
      <c r="J897" s="108" t="str">
        <f>J892</f>
        <v>2500 mm</v>
      </c>
      <c r="K897" s="118">
        <v>1</v>
      </c>
      <c r="L897" s="118" t="s">
        <v>81</v>
      </c>
      <c r="M897" s="128">
        <f t="shared" ref="M897:M900" si="330">LEFT(J897,SEARCH(" ",J897,1)-1)*K897*0.001</f>
        <v>2.5</v>
      </c>
      <c r="N897" s="104" t="s">
        <v>139</v>
      </c>
      <c r="O897" s="162">
        <f>VLOOKUP(I897,BM!$B$3:$Y$62,10,FALSE)</f>
        <v>1</v>
      </c>
      <c r="P897" s="104" t="s">
        <v>112</v>
      </c>
      <c r="Q897" s="150">
        <f t="shared" si="325"/>
        <v>2.5</v>
      </c>
      <c r="R897" s="148">
        <v>1</v>
      </c>
      <c r="S897" s="150">
        <f t="shared" si="326"/>
        <v>3.5</v>
      </c>
      <c r="T897" s="149" t="s">
        <v>48</v>
      </c>
    </row>
    <row r="898" spans="3:20" ht="20.25" customHeight="1">
      <c r="C898" s="96"/>
      <c r="D898" s="102">
        <f t="shared" si="273"/>
        <v>898</v>
      </c>
      <c r="E898" s="106" t="s">
        <v>298</v>
      </c>
      <c r="F898" s="108">
        <f t="shared" si="329"/>
        <v>897</v>
      </c>
      <c r="G898" s="105" t="s">
        <v>299</v>
      </c>
      <c r="H898" s="105"/>
      <c r="I898" s="108">
        <f>I895</f>
        <v>18</v>
      </c>
      <c r="J898" s="108" t="str">
        <f>J893</f>
        <v>2500 mm</v>
      </c>
      <c r="K898" s="118">
        <v>1</v>
      </c>
      <c r="L898" s="118" t="s">
        <v>81</v>
      </c>
      <c r="M898" s="128">
        <f t="shared" si="330"/>
        <v>2.5</v>
      </c>
      <c r="N898" s="104" t="s">
        <v>139</v>
      </c>
      <c r="O898" s="162">
        <f>VLOOKUP(I898,BM!$B$3:$Y$62,10,FALSE)</f>
        <v>1</v>
      </c>
      <c r="P898" s="104" t="s">
        <v>112</v>
      </c>
      <c r="Q898" s="150">
        <f t="shared" si="325"/>
        <v>2.5</v>
      </c>
      <c r="R898" s="148">
        <v>1</v>
      </c>
      <c r="S898" s="150">
        <f t="shared" si="326"/>
        <v>3.5</v>
      </c>
      <c r="T898" s="149" t="s">
        <v>48</v>
      </c>
    </row>
    <row r="899" spans="3:20" ht="20.25" customHeight="1">
      <c r="C899" s="96"/>
      <c r="D899" s="102">
        <f t="shared" si="273"/>
        <v>899</v>
      </c>
      <c r="E899" s="106" t="s">
        <v>298</v>
      </c>
      <c r="F899" s="108">
        <f t="shared" si="329"/>
        <v>898</v>
      </c>
      <c r="G899" s="105" t="s">
        <v>299</v>
      </c>
      <c r="H899" s="105"/>
      <c r="I899" s="108">
        <f>I895</f>
        <v>18</v>
      </c>
      <c r="J899" s="108" t="str">
        <f>J894</f>
        <v>1250 mm</v>
      </c>
      <c r="K899" s="118">
        <v>1</v>
      </c>
      <c r="L899" s="118" t="s">
        <v>81</v>
      </c>
      <c r="M899" s="128">
        <f t="shared" si="330"/>
        <v>1.25</v>
      </c>
      <c r="N899" s="104" t="s">
        <v>139</v>
      </c>
      <c r="O899" s="162">
        <f>VLOOKUP(I899,BM!$B$3:$Y$62,10,FALSE)</f>
        <v>1</v>
      </c>
      <c r="P899" s="104" t="s">
        <v>112</v>
      </c>
      <c r="Q899" s="150">
        <f t="shared" si="325"/>
        <v>1.25</v>
      </c>
      <c r="R899" s="148">
        <v>1</v>
      </c>
      <c r="S899" s="150">
        <f t="shared" si="326"/>
        <v>2.25</v>
      </c>
      <c r="T899" s="149" t="s">
        <v>48</v>
      </c>
    </row>
    <row r="900" spans="3:20" ht="20.25" customHeight="1">
      <c r="C900" s="96"/>
      <c r="D900" s="102">
        <f t="shared" ref="D900:D963" si="331">D899+1</f>
        <v>900</v>
      </c>
      <c r="E900" s="106" t="s">
        <v>298</v>
      </c>
      <c r="F900" s="108">
        <f t="shared" si="329"/>
        <v>899</v>
      </c>
      <c r="G900" s="105" t="s">
        <v>299</v>
      </c>
      <c r="H900" s="105"/>
      <c r="I900" s="108">
        <f>I895</f>
        <v>18</v>
      </c>
      <c r="J900" s="108" t="str">
        <f>J895</f>
        <v>0 mm</v>
      </c>
      <c r="K900" s="118">
        <v>1</v>
      </c>
      <c r="L900" s="118" t="s">
        <v>81</v>
      </c>
      <c r="M900" s="128">
        <f t="shared" si="330"/>
        <v>0</v>
      </c>
      <c r="N900" s="104" t="s">
        <v>139</v>
      </c>
      <c r="O900" s="162">
        <f>VLOOKUP(I900,BM!$B$3:$Y$62,10,FALSE)</f>
        <v>1</v>
      </c>
      <c r="P900" s="104" t="s">
        <v>112</v>
      </c>
      <c r="Q900" s="150">
        <f t="shared" si="325"/>
        <v>0</v>
      </c>
      <c r="R900" s="148">
        <v>1</v>
      </c>
      <c r="S900" s="150">
        <f t="shared" si="326"/>
        <v>1</v>
      </c>
      <c r="T900" s="149" t="s">
        <v>48</v>
      </c>
    </row>
    <row r="901" spans="3:20" ht="20.25" customHeight="1">
      <c r="C901" s="96">
        <f>D901</f>
        <v>901</v>
      </c>
      <c r="D901" s="102">
        <f t="shared" si="331"/>
        <v>901</v>
      </c>
      <c r="E901" s="103" t="s">
        <v>300</v>
      </c>
      <c r="F901" s="108">
        <f>D896</f>
        <v>896</v>
      </c>
      <c r="G901" s="105"/>
      <c r="H901" s="105"/>
      <c r="I901" s="104"/>
      <c r="J901" s="104"/>
      <c r="K901" s="118"/>
      <c r="L901" s="118"/>
      <c r="M901" s="119"/>
      <c r="N901" s="104"/>
      <c r="O901" s="120"/>
      <c r="P901" s="104"/>
      <c r="Q901" s="150"/>
      <c r="R901" s="148"/>
      <c r="S901" s="150"/>
      <c r="T901" s="149"/>
    </row>
    <row r="902" spans="3:20" ht="20.25" customHeight="1">
      <c r="C902" s="96"/>
      <c r="D902" s="102">
        <f t="shared" si="331"/>
        <v>902</v>
      </c>
      <c r="E902" s="106" t="s">
        <v>301</v>
      </c>
      <c r="F902" s="108">
        <f t="shared" ref="F902:F905" si="332">D901</f>
        <v>901</v>
      </c>
      <c r="G902" s="105" t="s">
        <v>44</v>
      </c>
      <c r="H902" s="105"/>
      <c r="I902" s="108">
        <f>I900</f>
        <v>18</v>
      </c>
      <c r="J902" s="108" t="str">
        <f>J897</f>
        <v>2500 mm</v>
      </c>
      <c r="K902" s="118">
        <v>1</v>
      </c>
      <c r="L902" s="118" t="s">
        <v>81</v>
      </c>
      <c r="M902" s="128">
        <v>1</v>
      </c>
      <c r="N902" s="104" t="s">
        <v>39</v>
      </c>
      <c r="O902" s="162">
        <f>VLOOKUP(I902,BM!$B$3:$Y$62,11,FALSE)</f>
        <v>1</v>
      </c>
      <c r="P902" s="104" t="s">
        <v>112</v>
      </c>
      <c r="Q902" s="150">
        <f t="shared" ref="Q902:Q905" si="333">M902*O902</f>
        <v>1</v>
      </c>
      <c r="R902" s="148">
        <v>1</v>
      </c>
      <c r="S902" s="150">
        <f t="shared" ref="S902:S905" si="334">Q902+R902</f>
        <v>2</v>
      </c>
      <c r="T902" s="149" t="s">
        <v>48</v>
      </c>
    </row>
    <row r="903" spans="3:20" ht="20.25" customHeight="1">
      <c r="C903" s="96"/>
      <c r="D903" s="102">
        <f t="shared" si="331"/>
        <v>903</v>
      </c>
      <c r="E903" s="106" t="s">
        <v>301</v>
      </c>
      <c r="F903" s="108">
        <f t="shared" si="332"/>
        <v>902</v>
      </c>
      <c r="G903" s="105" t="s">
        <v>44</v>
      </c>
      <c r="H903" s="105"/>
      <c r="I903" s="108">
        <f>I900</f>
        <v>18</v>
      </c>
      <c r="J903" s="108" t="str">
        <f>J898</f>
        <v>2500 mm</v>
      </c>
      <c r="K903" s="118">
        <v>1</v>
      </c>
      <c r="L903" s="118" t="s">
        <v>81</v>
      </c>
      <c r="M903" s="128">
        <v>1</v>
      </c>
      <c r="N903" s="104" t="s">
        <v>39</v>
      </c>
      <c r="O903" s="162">
        <f>VLOOKUP(I903,BM!$B$3:$Y$62,11,FALSE)</f>
        <v>1</v>
      </c>
      <c r="P903" s="104" t="s">
        <v>112</v>
      </c>
      <c r="Q903" s="150">
        <f t="shared" si="333"/>
        <v>1</v>
      </c>
      <c r="R903" s="148">
        <v>1</v>
      </c>
      <c r="S903" s="150">
        <f t="shared" si="334"/>
        <v>2</v>
      </c>
      <c r="T903" s="149" t="s">
        <v>48</v>
      </c>
    </row>
    <row r="904" spans="3:20" ht="20.25" customHeight="1">
      <c r="C904" s="96"/>
      <c r="D904" s="102">
        <f t="shared" si="331"/>
        <v>904</v>
      </c>
      <c r="E904" s="106" t="s">
        <v>301</v>
      </c>
      <c r="F904" s="108">
        <f t="shared" si="332"/>
        <v>903</v>
      </c>
      <c r="G904" s="105" t="s">
        <v>44</v>
      </c>
      <c r="H904" s="105"/>
      <c r="I904" s="108">
        <f>I900</f>
        <v>18</v>
      </c>
      <c r="J904" s="108" t="str">
        <f>J899</f>
        <v>1250 mm</v>
      </c>
      <c r="K904" s="118">
        <v>1</v>
      </c>
      <c r="L904" s="118" t="s">
        <v>81</v>
      </c>
      <c r="M904" s="128">
        <v>1</v>
      </c>
      <c r="N904" s="104" t="s">
        <v>39</v>
      </c>
      <c r="O904" s="162">
        <f>VLOOKUP(I904,BM!$B$3:$Y$62,11,FALSE)</f>
        <v>1</v>
      </c>
      <c r="P904" s="104" t="s">
        <v>112</v>
      </c>
      <c r="Q904" s="150">
        <f t="shared" si="333"/>
        <v>1</v>
      </c>
      <c r="R904" s="148">
        <v>1</v>
      </c>
      <c r="S904" s="150">
        <f t="shared" si="334"/>
        <v>2</v>
      </c>
      <c r="T904" s="149" t="s">
        <v>48</v>
      </c>
    </row>
    <row r="905" spans="3:20" ht="20.25" customHeight="1">
      <c r="C905" s="96"/>
      <c r="D905" s="102">
        <f t="shared" si="331"/>
        <v>905</v>
      </c>
      <c r="E905" s="106" t="s">
        <v>301</v>
      </c>
      <c r="F905" s="108">
        <f t="shared" si="332"/>
        <v>904</v>
      </c>
      <c r="G905" s="105" t="s">
        <v>44</v>
      </c>
      <c r="H905" s="105"/>
      <c r="I905" s="108">
        <f>I900</f>
        <v>18</v>
      </c>
      <c r="J905" s="108" t="str">
        <f>J900</f>
        <v>0 mm</v>
      </c>
      <c r="K905" s="118">
        <v>1</v>
      </c>
      <c r="L905" s="118" t="s">
        <v>81</v>
      </c>
      <c r="M905" s="128">
        <v>1</v>
      </c>
      <c r="N905" s="104" t="s">
        <v>39</v>
      </c>
      <c r="O905" s="162">
        <f>VLOOKUP(I905,BM!$B$3:$Y$62,11,FALSE)</f>
        <v>1</v>
      </c>
      <c r="P905" s="104" t="s">
        <v>112</v>
      </c>
      <c r="Q905" s="150">
        <f t="shared" si="333"/>
        <v>1</v>
      </c>
      <c r="R905" s="148">
        <v>1</v>
      </c>
      <c r="S905" s="150">
        <f t="shared" si="334"/>
        <v>2</v>
      </c>
      <c r="T905" s="149" t="s">
        <v>48</v>
      </c>
    </row>
    <row r="906" spans="3:20" ht="20.25" customHeight="1">
      <c r="C906" s="96">
        <f>D906</f>
        <v>906</v>
      </c>
      <c r="D906" s="102">
        <f t="shared" si="331"/>
        <v>906</v>
      </c>
      <c r="E906" s="103" t="s">
        <v>760</v>
      </c>
      <c r="F906" s="108">
        <f>D901</f>
        <v>901</v>
      </c>
      <c r="G906" s="105"/>
      <c r="H906" s="105"/>
      <c r="I906" s="104"/>
      <c r="J906" s="104"/>
      <c r="K906" s="118"/>
      <c r="L906" s="118"/>
      <c r="M906" s="119"/>
      <c r="N906" s="104"/>
      <c r="O906" s="120"/>
      <c r="P906" s="104"/>
      <c r="Q906" s="150"/>
      <c r="R906" s="148"/>
      <c r="S906" s="150"/>
      <c r="T906" s="149"/>
    </row>
    <row r="907" spans="3:20" ht="20.25" customHeight="1">
      <c r="C907" s="96"/>
      <c r="D907" s="102">
        <f t="shared" si="331"/>
        <v>907</v>
      </c>
      <c r="E907" s="106" t="s">
        <v>303</v>
      </c>
      <c r="F907" s="108">
        <f t="shared" ref="F907:F910" si="335">D906</f>
        <v>906</v>
      </c>
      <c r="G907" s="105" t="s">
        <v>115</v>
      </c>
      <c r="H907" s="105"/>
      <c r="I907" s="104">
        <v>12</v>
      </c>
      <c r="J907" s="108" t="str">
        <f>J902</f>
        <v>2500 mm</v>
      </c>
      <c r="K907" s="118">
        <v>1</v>
      </c>
      <c r="L907" s="118" t="s">
        <v>81</v>
      </c>
      <c r="M907" s="128">
        <f t="shared" ref="M907:M910" si="336">LEFT(J907,SEARCH(" ",J907,1)-1)*K907*0.001</f>
        <v>2.5</v>
      </c>
      <c r="N907" s="104" t="s">
        <v>139</v>
      </c>
      <c r="O907" s="162">
        <f>VLOOKUP(I907,BM!$B$3:$Y$62,12,FALSE)</f>
        <v>2.5</v>
      </c>
      <c r="P907" s="104" t="s">
        <v>112</v>
      </c>
      <c r="Q907" s="150">
        <f t="shared" ref="Q907:Q910" si="337">M907*O907</f>
        <v>6.25</v>
      </c>
      <c r="R907" s="148">
        <v>1</v>
      </c>
      <c r="S907" s="150">
        <f t="shared" ref="S907:S910" si="338">Q907+R907</f>
        <v>7.25</v>
      </c>
      <c r="T907" s="149" t="s">
        <v>48</v>
      </c>
    </row>
    <row r="908" spans="3:20" ht="20.25" customHeight="1">
      <c r="C908" s="96"/>
      <c r="D908" s="102">
        <f t="shared" si="331"/>
        <v>908</v>
      </c>
      <c r="E908" s="106" t="s">
        <v>303</v>
      </c>
      <c r="F908" s="108">
        <f t="shared" si="335"/>
        <v>907</v>
      </c>
      <c r="G908" s="105" t="s">
        <v>115</v>
      </c>
      <c r="H908" s="105"/>
      <c r="I908" s="108">
        <f>I907</f>
        <v>12</v>
      </c>
      <c r="J908" s="108" t="str">
        <f>J903</f>
        <v>2500 mm</v>
      </c>
      <c r="K908" s="118">
        <v>1</v>
      </c>
      <c r="L908" s="118" t="s">
        <v>81</v>
      </c>
      <c r="M908" s="128">
        <f t="shared" si="336"/>
        <v>2.5</v>
      </c>
      <c r="N908" s="104" t="s">
        <v>139</v>
      </c>
      <c r="O908" s="162">
        <f>VLOOKUP(I908,BM!$B$3:$Y$62,12,FALSE)</f>
        <v>2.5</v>
      </c>
      <c r="P908" s="104" t="s">
        <v>112</v>
      </c>
      <c r="Q908" s="150">
        <f t="shared" si="337"/>
        <v>6.25</v>
      </c>
      <c r="R908" s="148">
        <v>1</v>
      </c>
      <c r="S908" s="150">
        <f t="shared" si="338"/>
        <v>7.25</v>
      </c>
      <c r="T908" s="149" t="s">
        <v>48</v>
      </c>
    </row>
    <row r="909" spans="3:20" ht="20.25" customHeight="1">
      <c r="C909" s="96"/>
      <c r="D909" s="102">
        <f t="shared" si="331"/>
        <v>909</v>
      </c>
      <c r="E909" s="106" t="s">
        <v>303</v>
      </c>
      <c r="F909" s="108">
        <f t="shared" si="335"/>
        <v>908</v>
      </c>
      <c r="G909" s="105" t="s">
        <v>115</v>
      </c>
      <c r="H909" s="105"/>
      <c r="I909" s="108">
        <f>I908</f>
        <v>12</v>
      </c>
      <c r="J909" s="108" t="str">
        <f>J904</f>
        <v>1250 mm</v>
      </c>
      <c r="K909" s="118">
        <v>1</v>
      </c>
      <c r="L909" s="118" t="s">
        <v>81</v>
      </c>
      <c r="M909" s="128">
        <f t="shared" si="336"/>
        <v>1.25</v>
      </c>
      <c r="N909" s="104" t="s">
        <v>139</v>
      </c>
      <c r="O909" s="162">
        <f>VLOOKUP(I909,BM!$B$3:$Y$62,12,FALSE)</f>
        <v>2.5</v>
      </c>
      <c r="P909" s="104" t="s">
        <v>112</v>
      </c>
      <c r="Q909" s="150">
        <f t="shared" si="337"/>
        <v>3.125</v>
      </c>
      <c r="R909" s="148">
        <v>1</v>
      </c>
      <c r="S909" s="150">
        <f t="shared" si="338"/>
        <v>4.125</v>
      </c>
      <c r="T909" s="149" t="s">
        <v>48</v>
      </c>
    </row>
    <row r="910" spans="3:20" ht="20.25" customHeight="1">
      <c r="C910" s="96"/>
      <c r="D910" s="102">
        <f t="shared" si="331"/>
        <v>910</v>
      </c>
      <c r="E910" s="106" t="s">
        <v>303</v>
      </c>
      <c r="F910" s="108">
        <f t="shared" si="335"/>
        <v>909</v>
      </c>
      <c r="G910" s="105" t="s">
        <v>115</v>
      </c>
      <c r="H910" s="105"/>
      <c r="I910" s="108">
        <f>I909</f>
        <v>12</v>
      </c>
      <c r="J910" s="108" t="str">
        <f>J905</f>
        <v>0 mm</v>
      </c>
      <c r="K910" s="118">
        <v>1</v>
      </c>
      <c r="L910" s="118" t="s">
        <v>81</v>
      </c>
      <c r="M910" s="128">
        <f t="shared" si="336"/>
        <v>0</v>
      </c>
      <c r="N910" s="104" t="s">
        <v>139</v>
      </c>
      <c r="O910" s="162">
        <f>VLOOKUP(I910,BM!$B$3:$Y$62,12,FALSE)</f>
        <v>2.5</v>
      </c>
      <c r="P910" s="104" t="s">
        <v>112</v>
      </c>
      <c r="Q910" s="150">
        <f t="shared" si="337"/>
        <v>0</v>
      </c>
      <c r="R910" s="148">
        <v>1</v>
      </c>
      <c r="S910" s="150">
        <f t="shared" si="338"/>
        <v>1</v>
      </c>
      <c r="T910" s="149" t="s">
        <v>48</v>
      </c>
    </row>
    <row r="911" spans="3:20" ht="20.25" customHeight="1">
      <c r="C911" s="96">
        <f>D911</f>
        <v>911</v>
      </c>
      <c r="D911" s="102">
        <f t="shared" si="331"/>
        <v>911</v>
      </c>
      <c r="E911" s="103" t="s">
        <v>304</v>
      </c>
      <c r="F911" s="108">
        <f>D906</f>
        <v>906</v>
      </c>
      <c r="G911" s="105"/>
      <c r="H911" s="105"/>
      <c r="I911" s="104"/>
      <c r="J911" s="104"/>
      <c r="K911" s="118"/>
      <c r="L911" s="118"/>
      <c r="M911" s="119"/>
      <c r="N911" s="104"/>
      <c r="O911" s="120"/>
      <c r="P911" s="104"/>
      <c r="Q911" s="150"/>
      <c r="R911" s="148"/>
      <c r="S911" s="150"/>
      <c r="T911" s="149"/>
    </row>
    <row r="912" spans="3:20" ht="20.25" customHeight="1">
      <c r="C912" s="96"/>
      <c r="D912" s="102">
        <f t="shared" si="331"/>
        <v>912</v>
      </c>
      <c r="E912" s="106" t="s">
        <v>305</v>
      </c>
      <c r="F912" s="108">
        <f t="shared" ref="F912:F915" si="339">D911</f>
        <v>911</v>
      </c>
      <c r="G912" s="105" t="s">
        <v>61</v>
      </c>
      <c r="H912" s="105"/>
      <c r="I912" s="104">
        <v>18</v>
      </c>
      <c r="J912" s="108" t="str">
        <f>J907</f>
        <v>2500 mm</v>
      </c>
      <c r="K912" s="118">
        <v>1</v>
      </c>
      <c r="L912" s="118" t="s">
        <v>81</v>
      </c>
      <c r="M912" s="128">
        <f t="shared" ref="M912:M915" si="340">LEFT(J912,SEARCH(" ",J912,1)-1)*K912*0.001</f>
        <v>2.5</v>
      </c>
      <c r="N912" s="104" t="s">
        <v>139</v>
      </c>
      <c r="O912" s="162">
        <f>VLOOKUP(I912,BM!$B$3:$Y$62,18,FALSE)</f>
        <v>1</v>
      </c>
      <c r="P912" s="104" t="s">
        <v>112</v>
      </c>
      <c r="Q912" s="150">
        <f t="shared" ref="Q912:Q915" si="341">M912*O912</f>
        <v>2.5</v>
      </c>
      <c r="R912" s="148">
        <v>1</v>
      </c>
      <c r="S912" s="150">
        <f t="shared" ref="S912:S915" si="342">Q912+R912</f>
        <v>3.5</v>
      </c>
      <c r="T912" s="149" t="s">
        <v>48</v>
      </c>
    </row>
    <row r="913" spans="3:20" ht="20.25" customHeight="1">
      <c r="C913" s="96"/>
      <c r="D913" s="102">
        <f t="shared" si="331"/>
        <v>913</v>
      </c>
      <c r="E913" s="106" t="s">
        <v>305</v>
      </c>
      <c r="F913" s="108">
        <f t="shared" si="339"/>
        <v>912</v>
      </c>
      <c r="G913" s="105" t="s">
        <v>61</v>
      </c>
      <c r="H913" s="105"/>
      <c r="I913" s="104">
        <v>18</v>
      </c>
      <c r="J913" s="108" t="str">
        <f>J908</f>
        <v>2500 mm</v>
      </c>
      <c r="K913" s="118">
        <v>1</v>
      </c>
      <c r="L913" s="118" t="s">
        <v>81</v>
      </c>
      <c r="M913" s="128">
        <f t="shared" si="340"/>
        <v>2.5</v>
      </c>
      <c r="N913" s="104" t="s">
        <v>139</v>
      </c>
      <c r="O913" s="162">
        <f>VLOOKUP(I913,BM!$B$3:$Y$62,18,FALSE)</f>
        <v>1</v>
      </c>
      <c r="P913" s="104" t="s">
        <v>112</v>
      </c>
      <c r="Q913" s="150">
        <f t="shared" si="341"/>
        <v>2.5</v>
      </c>
      <c r="R913" s="148">
        <v>1</v>
      </c>
      <c r="S913" s="150">
        <f t="shared" si="342"/>
        <v>3.5</v>
      </c>
      <c r="T913" s="149" t="s">
        <v>48</v>
      </c>
    </row>
    <row r="914" spans="3:20" ht="20.25" customHeight="1">
      <c r="C914" s="96"/>
      <c r="D914" s="102">
        <f t="shared" si="331"/>
        <v>914</v>
      </c>
      <c r="E914" s="106" t="s">
        <v>305</v>
      </c>
      <c r="F914" s="108">
        <f t="shared" si="339"/>
        <v>913</v>
      </c>
      <c r="G914" s="105" t="s">
        <v>61</v>
      </c>
      <c r="H914" s="105"/>
      <c r="I914" s="104">
        <v>18</v>
      </c>
      <c r="J914" s="108" t="str">
        <f>J909</f>
        <v>1250 mm</v>
      </c>
      <c r="K914" s="118">
        <v>1</v>
      </c>
      <c r="L914" s="118" t="s">
        <v>81</v>
      </c>
      <c r="M914" s="128">
        <f t="shared" si="340"/>
        <v>1.25</v>
      </c>
      <c r="N914" s="104" t="s">
        <v>139</v>
      </c>
      <c r="O914" s="162">
        <f>VLOOKUP(I914,BM!$B$3:$Y$62,18,FALSE)</f>
        <v>1</v>
      </c>
      <c r="P914" s="104" t="s">
        <v>112</v>
      </c>
      <c r="Q914" s="150">
        <f t="shared" si="341"/>
        <v>1.25</v>
      </c>
      <c r="R914" s="148">
        <v>1</v>
      </c>
      <c r="S914" s="150">
        <f t="shared" si="342"/>
        <v>2.25</v>
      </c>
      <c r="T914" s="149" t="s">
        <v>48</v>
      </c>
    </row>
    <row r="915" spans="3:20" ht="20.25" customHeight="1">
      <c r="C915" s="96"/>
      <c r="D915" s="102">
        <f t="shared" si="331"/>
        <v>915</v>
      </c>
      <c r="E915" s="106" t="s">
        <v>305</v>
      </c>
      <c r="F915" s="108">
        <f t="shared" si="339"/>
        <v>914</v>
      </c>
      <c r="G915" s="105" t="s">
        <v>61</v>
      </c>
      <c r="H915" s="105"/>
      <c r="I915" s="104">
        <v>18</v>
      </c>
      <c r="J915" s="108" t="str">
        <f>J910</f>
        <v>0 mm</v>
      </c>
      <c r="K915" s="118">
        <v>1</v>
      </c>
      <c r="L915" s="118" t="s">
        <v>81</v>
      </c>
      <c r="M915" s="128">
        <f t="shared" si="340"/>
        <v>0</v>
      </c>
      <c r="N915" s="104" t="s">
        <v>139</v>
      </c>
      <c r="O915" s="162">
        <f>VLOOKUP(I915,BM!$B$3:$Y$62,18,FALSE)</f>
        <v>1</v>
      </c>
      <c r="P915" s="104" t="s">
        <v>112</v>
      </c>
      <c r="Q915" s="150">
        <f t="shared" si="341"/>
        <v>0</v>
      </c>
      <c r="R915" s="148">
        <v>1</v>
      </c>
      <c r="S915" s="150">
        <f t="shared" si="342"/>
        <v>1</v>
      </c>
      <c r="T915" s="149" t="s">
        <v>48</v>
      </c>
    </row>
    <row r="916" spans="3:20" ht="20.25" customHeight="1">
      <c r="C916" s="96">
        <f>D916</f>
        <v>916</v>
      </c>
      <c r="D916" s="102">
        <f t="shared" si="331"/>
        <v>916</v>
      </c>
      <c r="E916" s="103" t="s">
        <v>306</v>
      </c>
      <c r="F916" s="108">
        <f>D911</f>
        <v>911</v>
      </c>
      <c r="G916" s="105"/>
      <c r="H916" s="105"/>
      <c r="I916" s="104"/>
      <c r="J916" s="104"/>
      <c r="K916" s="118"/>
      <c r="L916" s="118"/>
      <c r="M916" s="119"/>
      <c r="N916" s="104"/>
      <c r="O916" s="120"/>
      <c r="P916" s="104"/>
      <c r="Q916" s="150"/>
      <c r="R916" s="148"/>
      <c r="S916" s="150"/>
      <c r="T916" s="149"/>
    </row>
    <row r="917" spans="3:20" ht="20.25" customHeight="1">
      <c r="C917" s="96"/>
      <c r="D917" s="102">
        <f t="shared" si="331"/>
        <v>917</v>
      </c>
      <c r="E917" s="106" t="s">
        <v>307</v>
      </c>
      <c r="F917" s="108">
        <f t="shared" ref="F917:F920" si="343">D916</f>
        <v>916</v>
      </c>
      <c r="G917" s="105" t="s">
        <v>115</v>
      </c>
      <c r="H917" s="105"/>
      <c r="I917" s="104">
        <v>6</v>
      </c>
      <c r="J917" s="108" t="str">
        <f>J912</f>
        <v>2500 mm</v>
      </c>
      <c r="K917" s="118">
        <v>1</v>
      </c>
      <c r="L917" s="118" t="s">
        <v>81</v>
      </c>
      <c r="M917" s="128">
        <f t="shared" ref="M917:M920" si="344">LEFT(J917,SEARCH(" ",J917,1)-1)*K917*0.001</f>
        <v>2.5</v>
      </c>
      <c r="N917" s="104" t="s">
        <v>139</v>
      </c>
      <c r="O917" s="162">
        <f>VLOOKUP(I917,BM!$B$3:$Y$62,12,FALSE)</f>
        <v>0.9</v>
      </c>
      <c r="P917" s="104" t="s">
        <v>112</v>
      </c>
      <c r="Q917" s="150">
        <f t="shared" ref="Q917:Q920" si="345">M917*O917</f>
        <v>2.25</v>
      </c>
      <c r="R917" s="148">
        <v>1</v>
      </c>
      <c r="S917" s="150">
        <f t="shared" ref="S917:S920" si="346">Q917+R917</f>
        <v>3.25</v>
      </c>
      <c r="T917" s="149" t="s">
        <v>48</v>
      </c>
    </row>
    <row r="918" spans="3:20" ht="20.25" customHeight="1">
      <c r="C918" s="96"/>
      <c r="D918" s="102">
        <f t="shared" si="331"/>
        <v>918</v>
      </c>
      <c r="E918" s="106" t="s">
        <v>307</v>
      </c>
      <c r="F918" s="108">
        <f t="shared" si="343"/>
        <v>917</v>
      </c>
      <c r="G918" s="105" t="s">
        <v>115</v>
      </c>
      <c r="H918" s="105"/>
      <c r="I918" s="108">
        <f>I917</f>
        <v>6</v>
      </c>
      <c r="J918" s="108" t="str">
        <f>J913</f>
        <v>2500 mm</v>
      </c>
      <c r="K918" s="118">
        <v>1</v>
      </c>
      <c r="L918" s="118" t="s">
        <v>81</v>
      </c>
      <c r="M918" s="128">
        <f t="shared" si="344"/>
        <v>2.5</v>
      </c>
      <c r="N918" s="104" t="s">
        <v>139</v>
      </c>
      <c r="O918" s="162">
        <f>VLOOKUP(I918,BM!$B$3:$Y$62,12,FALSE)</f>
        <v>0.9</v>
      </c>
      <c r="P918" s="104" t="s">
        <v>112</v>
      </c>
      <c r="Q918" s="150">
        <f t="shared" si="345"/>
        <v>2.25</v>
      </c>
      <c r="R918" s="148">
        <v>1</v>
      </c>
      <c r="S918" s="150">
        <f t="shared" si="346"/>
        <v>3.25</v>
      </c>
      <c r="T918" s="149" t="s">
        <v>48</v>
      </c>
    </row>
    <row r="919" spans="3:20" ht="20.25" customHeight="1">
      <c r="C919" s="96"/>
      <c r="D919" s="102">
        <f t="shared" si="331"/>
        <v>919</v>
      </c>
      <c r="E919" s="106" t="s">
        <v>307</v>
      </c>
      <c r="F919" s="108">
        <f t="shared" si="343"/>
        <v>918</v>
      </c>
      <c r="G919" s="105" t="s">
        <v>115</v>
      </c>
      <c r="H919" s="105"/>
      <c r="I919" s="108">
        <f>I918</f>
        <v>6</v>
      </c>
      <c r="J919" s="108" t="str">
        <f>J914</f>
        <v>1250 mm</v>
      </c>
      <c r="K919" s="118">
        <v>1</v>
      </c>
      <c r="L919" s="118" t="s">
        <v>81</v>
      </c>
      <c r="M919" s="128">
        <f t="shared" si="344"/>
        <v>1.25</v>
      </c>
      <c r="N919" s="104" t="s">
        <v>139</v>
      </c>
      <c r="O919" s="162">
        <f>VLOOKUP(I919,BM!$B$3:$Y$62,12,FALSE)</f>
        <v>0.9</v>
      </c>
      <c r="P919" s="104" t="s">
        <v>112</v>
      </c>
      <c r="Q919" s="150">
        <f t="shared" si="345"/>
        <v>1.125</v>
      </c>
      <c r="R919" s="148">
        <v>1</v>
      </c>
      <c r="S919" s="150">
        <f t="shared" si="346"/>
        <v>2.125</v>
      </c>
      <c r="T919" s="149" t="s">
        <v>48</v>
      </c>
    </row>
    <row r="920" spans="3:20" ht="20.25" customHeight="1">
      <c r="C920" s="96"/>
      <c r="D920" s="102">
        <f t="shared" si="331"/>
        <v>920</v>
      </c>
      <c r="E920" s="106" t="s">
        <v>307</v>
      </c>
      <c r="F920" s="108">
        <f t="shared" si="343"/>
        <v>919</v>
      </c>
      <c r="G920" s="105" t="s">
        <v>115</v>
      </c>
      <c r="H920" s="105"/>
      <c r="I920" s="108">
        <f>I919</f>
        <v>6</v>
      </c>
      <c r="J920" s="108" t="str">
        <f>J915</f>
        <v>0 mm</v>
      </c>
      <c r="K920" s="118">
        <v>1</v>
      </c>
      <c r="L920" s="118" t="s">
        <v>81</v>
      </c>
      <c r="M920" s="128">
        <f t="shared" si="344"/>
        <v>0</v>
      </c>
      <c r="N920" s="104" t="s">
        <v>139</v>
      </c>
      <c r="O920" s="162">
        <f>VLOOKUP(I920,BM!$B$3:$Y$62,12,FALSE)</f>
        <v>0.9</v>
      </c>
      <c r="P920" s="104" t="s">
        <v>112</v>
      </c>
      <c r="Q920" s="150">
        <f t="shared" si="345"/>
        <v>0</v>
      </c>
      <c r="R920" s="148">
        <v>1</v>
      </c>
      <c r="S920" s="150">
        <f t="shared" si="346"/>
        <v>1</v>
      </c>
      <c r="T920" s="149" t="s">
        <v>48</v>
      </c>
    </row>
    <row r="921" spans="3:20" ht="20.25" customHeight="1">
      <c r="C921" s="96">
        <f>D921</f>
        <v>921</v>
      </c>
      <c r="D921" s="102">
        <f t="shared" si="331"/>
        <v>921</v>
      </c>
      <c r="E921" s="103" t="s">
        <v>308</v>
      </c>
      <c r="F921" s="108">
        <f>D916</f>
        <v>916</v>
      </c>
      <c r="G921" s="105"/>
      <c r="H921" s="105"/>
      <c r="I921" s="104"/>
      <c r="J921" s="104"/>
      <c r="K921" s="118"/>
      <c r="L921" s="118"/>
      <c r="M921" s="119"/>
      <c r="N921" s="104"/>
      <c r="O921" s="120"/>
      <c r="P921" s="104"/>
      <c r="Q921" s="150"/>
      <c r="R921" s="148"/>
      <c r="S921" s="150"/>
      <c r="T921" s="149"/>
    </row>
    <row r="922" spans="3:20" ht="20.25" customHeight="1">
      <c r="C922" s="96"/>
      <c r="D922" s="102">
        <f t="shared" si="331"/>
        <v>922</v>
      </c>
      <c r="E922" s="106" t="s">
        <v>309</v>
      </c>
      <c r="F922" s="108">
        <f t="shared" ref="F922:F925" si="347">D921</f>
        <v>921</v>
      </c>
      <c r="G922" s="105" t="s">
        <v>61</v>
      </c>
      <c r="H922" s="105"/>
      <c r="I922" s="108">
        <f>I912</f>
        <v>18</v>
      </c>
      <c r="J922" s="108" t="str">
        <f>J917</f>
        <v>2500 mm</v>
      </c>
      <c r="K922" s="118">
        <v>1</v>
      </c>
      <c r="L922" s="118" t="s">
        <v>81</v>
      </c>
      <c r="M922" s="128">
        <f t="shared" ref="M922:M925" si="348">LEFT(J922,SEARCH(" ",J922,1)-1)*K922*0.001</f>
        <v>2.5</v>
      </c>
      <c r="N922" s="104" t="s">
        <v>139</v>
      </c>
      <c r="O922" s="162">
        <f>VLOOKUP(I922,BM!$B$3:$Y$62,20,FALSE)</f>
        <v>0.5</v>
      </c>
      <c r="P922" s="104" t="s">
        <v>112</v>
      </c>
      <c r="Q922" s="150">
        <f t="shared" ref="Q922:Q925" si="349">M922*O922</f>
        <v>1.25</v>
      </c>
      <c r="R922" s="148">
        <v>1</v>
      </c>
      <c r="S922" s="150">
        <f t="shared" ref="S922:S925" si="350">Q922+R922</f>
        <v>2.25</v>
      </c>
      <c r="T922" s="149" t="s">
        <v>48</v>
      </c>
    </row>
    <row r="923" spans="3:20" ht="20.25" customHeight="1">
      <c r="C923" s="96"/>
      <c r="D923" s="102">
        <f t="shared" si="331"/>
        <v>923</v>
      </c>
      <c r="E923" s="106" t="s">
        <v>309</v>
      </c>
      <c r="F923" s="108">
        <f t="shared" si="347"/>
        <v>922</v>
      </c>
      <c r="G923" s="105" t="s">
        <v>61</v>
      </c>
      <c r="H923" s="105"/>
      <c r="I923" s="108">
        <f t="shared" ref="I923:I925" si="351">I922</f>
        <v>18</v>
      </c>
      <c r="J923" s="108" t="str">
        <f>J918</f>
        <v>2500 mm</v>
      </c>
      <c r="K923" s="118">
        <v>1</v>
      </c>
      <c r="L923" s="118" t="s">
        <v>81</v>
      </c>
      <c r="M923" s="128">
        <f t="shared" si="348"/>
        <v>2.5</v>
      </c>
      <c r="N923" s="104" t="s">
        <v>139</v>
      </c>
      <c r="O923" s="162">
        <f>VLOOKUP(I923,BM!$B$3:$Y$62,20,FALSE)</f>
        <v>0.5</v>
      </c>
      <c r="P923" s="104" t="s">
        <v>112</v>
      </c>
      <c r="Q923" s="150">
        <f t="shared" si="349"/>
        <v>1.25</v>
      </c>
      <c r="R923" s="148">
        <v>1</v>
      </c>
      <c r="S923" s="150">
        <f t="shared" si="350"/>
        <v>2.25</v>
      </c>
      <c r="T923" s="149" t="s">
        <v>48</v>
      </c>
    </row>
    <row r="924" spans="3:20" ht="20.25" customHeight="1">
      <c r="C924" s="96"/>
      <c r="D924" s="102">
        <f t="shared" si="331"/>
        <v>924</v>
      </c>
      <c r="E924" s="106" t="s">
        <v>309</v>
      </c>
      <c r="F924" s="108">
        <f t="shared" si="347"/>
        <v>923</v>
      </c>
      <c r="G924" s="105" t="s">
        <v>61</v>
      </c>
      <c r="H924" s="105"/>
      <c r="I924" s="108">
        <f t="shared" si="351"/>
        <v>18</v>
      </c>
      <c r="J924" s="108" t="str">
        <f>J919</f>
        <v>1250 mm</v>
      </c>
      <c r="K924" s="118">
        <v>1</v>
      </c>
      <c r="L924" s="118" t="s">
        <v>81</v>
      </c>
      <c r="M924" s="128">
        <f t="shared" si="348"/>
        <v>1.25</v>
      </c>
      <c r="N924" s="104" t="s">
        <v>139</v>
      </c>
      <c r="O924" s="162">
        <f>VLOOKUP(I924,BM!$B$3:$Y$62,20,FALSE)</f>
        <v>0.5</v>
      </c>
      <c r="P924" s="104" t="s">
        <v>112</v>
      </c>
      <c r="Q924" s="150">
        <f t="shared" si="349"/>
        <v>0.625</v>
      </c>
      <c r="R924" s="148">
        <v>1</v>
      </c>
      <c r="S924" s="150">
        <f t="shared" si="350"/>
        <v>1.625</v>
      </c>
      <c r="T924" s="149" t="s">
        <v>48</v>
      </c>
    </row>
    <row r="925" spans="3:20" ht="20.25" customHeight="1">
      <c r="C925" s="96"/>
      <c r="D925" s="102">
        <f t="shared" si="331"/>
        <v>925</v>
      </c>
      <c r="E925" s="106" t="s">
        <v>309</v>
      </c>
      <c r="F925" s="108">
        <f t="shared" si="347"/>
        <v>924</v>
      </c>
      <c r="G925" s="105" t="s">
        <v>61</v>
      </c>
      <c r="H925" s="105"/>
      <c r="I925" s="108">
        <f t="shared" si="351"/>
        <v>18</v>
      </c>
      <c r="J925" s="108" t="str">
        <f>J920</f>
        <v>0 mm</v>
      </c>
      <c r="K925" s="118">
        <v>1</v>
      </c>
      <c r="L925" s="118" t="s">
        <v>81</v>
      </c>
      <c r="M925" s="128">
        <f t="shared" si="348"/>
        <v>0</v>
      </c>
      <c r="N925" s="104" t="s">
        <v>139</v>
      </c>
      <c r="O925" s="162">
        <f>VLOOKUP(I925,BM!$B$3:$Y$62,20,FALSE)</f>
        <v>0.5</v>
      </c>
      <c r="P925" s="104" t="s">
        <v>112</v>
      </c>
      <c r="Q925" s="150">
        <f t="shared" si="349"/>
        <v>0</v>
      </c>
      <c r="R925" s="148">
        <v>1</v>
      </c>
      <c r="S925" s="150">
        <f t="shared" si="350"/>
        <v>1</v>
      </c>
      <c r="T925" s="149" t="s">
        <v>48</v>
      </c>
    </row>
    <row r="926" spans="3:20" ht="20.25" customHeight="1">
      <c r="C926" s="96">
        <f>D926</f>
        <v>926</v>
      </c>
      <c r="D926" s="102">
        <f t="shared" si="331"/>
        <v>926</v>
      </c>
      <c r="E926" s="103" t="s">
        <v>310</v>
      </c>
      <c r="F926" s="108">
        <f>D921</f>
        <v>921</v>
      </c>
      <c r="G926" s="105"/>
      <c r="H926" s="105"/>
      <c r="I926" s="104"/>
      <c r="J926" s="104"/>
      <c r="K926" s="118"/>
      <c r="L926" s="118"/>
      <c r="M926" s="119"/>
      <c r="N926" s="104"/>
      <c r="O926" s="120"/>
      <c r="P926" s="104"/>
      <c r="Q926" s="150"/>
      <c r="R926" s="148"/>
      <c r="S926" s="150"/>
      <c r="T926" s="149"/>
    </row>
    <row r="927" spans="3:20" ht="20.25" customHeight="1">
      <c r="C927" s="96"/>
      <c r="D927" s="102">
        <f t="shared" si="331"/>
        <v>927</v>
      </c>
      <c r="E927" s="106" t="s">
        <v>311</v>
      </c>
      <c r="F927" s="108">
        <f t="shared" ref="F927:F930" si="352">D926</f>
        <v>926</v>
      </c>
      <c r="G927" s="105" t="s">
        <v>312</v>
      </c>
      <c r="H927" s="105"/>
      <c r="I927" s="108">
        <f>I925</f>
        <v>18</v>
      </c>
      <c r="J927" s="108" t="str">
        <f>J922</f>
        <v>2500 mm</v>
      </c>
      <c r="K927" s="118">
        <v>1</v>
      </c>
      <c r="L927" s="118" t="s">
        <v>81</v>
      </c>
      <c r="M927" s="119">
        <v>1</v>
      </c>
      <c r="N927" s="104" t="s">
        <v>39</v>
      </c>
      <c r="O927" s="120">
        <v>1</v>
      </c>
      <c r="P927" s="104" t="s">
        <v>41</v>
      </c>
      <c r="Q927" s="150">
        <f t="shared" ref="Q927:Q935" si="353">M927*O927</f>
        <v>1</v>
      </c>
      <c r="R927" s="148"/>
      <c r="S927" s="150">
        <f t="shared" ref="S927:S930" si="354">Q927+R927</f>
        <v>1</v>
      </c>
      <c r="T927" s="152" t="s">
        <v>41</v>
      </c>
    </row>
    <row r="928" spans="3:20" ht="20.25" customHeight="1">
      <c r="C928" s="96"/>
      <c r="D928" s="102">
        <f t="shared" si="331"/>
        <v>928</v>
      </c>
      <c r="E928" s="106" t="s">
        <v>311</v>
      </c>
      <c r="F928" s="108">
        <f t="shared" si="352"/>
        <v>927</v>
      </c>
      <c r="G928" s="105" t="s">
        <v>312</v>
      </c>
      <c r="H928" s="105"/>
      <c r="I928" s="108">
        <f t="shared" ref="I928:I930" si="355">I927</f>
        <v>18</v>
      </c>
      <c r="J928" s="108" t="str">
        <f>J923</f>
        <v>2500 mm</v>
      </c>
      <c r="K928" s="118">
        <v>1</v>
      </c>
      <c r="L928" s="118" t="s">
        <v>81</v>
      </c>
      <c r="M928" s="119">
        <v>1</v>
      </c>
      <c r="N928" s="104" t="s">
        <v>39</v>
      </c>
      <c r="O928" s="162">
        <f t="shared" ref="O928:P928" si="356">O927</f>
        <v>1</v>
      </c>
      <c r="P928" s="108" t="str">
        <f t="shared" si="356"/>
        <v>Day</v>
      </c>
      <c r="Q928" s="150">
        <f t="shared" si="353"/>
        <v>1</v>
      </c>
      <c r="R928" s="148"/>
      <c r="S928" s="150">
        <f t="shared" si="354"/>
        <v>1</v>
      </c>
      <c r="T928" s="152" t="s">
        <v>41</v>
      </c>
    </row>
    <row r="929" spans="3:20" ht="20.25" customHeight="1">
      <c r="C929" s="96"/>
      <c r="D929" s="102">
        <f t="shared" si="331"/>
        <v>929</v>
      </c>
      <c r="E929" s="106" t="s">
        <v>311</v>
      </c>
      <c r="F929" s="108">
        <f t="shared" si="352"/>
        <v>928</v>
      </c>
      <c r="G929" s="105" t="s">
        <v>312</v>
      </c>
      <c r="H929" s="105"/>
      <c r="I929" s="108">
        <f t="shared" si="355"/>
        <v>18</v>
      </c>
      <c r="J929" s="108" t="str">
        <f>J924</f>
        <v>1250 mm</v>
      </c>
      <c r="K929" s="118">
        <v>1</v>
      </c>
      <c r="L929" s="118" t="s">
        <v>81</v>
      </c>
      <c r="M929" s="119">
        <v>1</v>
      </c>
      <c r="N929" s="104" t="s">
        <v>39</v>
      </c>
      <c r="O929" s="162">
        <f t="shared" ref="O929:P929" si="357">O928</f>
        <v>1</v>
      </c>
      <c r="P929" s="108" t="str">
        <f t="shared" si="357"/>
        <v>Day</v>
      </c>
      <c r="Q929" s="150">
        <f t="shared" si="353"/>
        <v>1</v>
      </c>
      <c r="R929" s="148"/>
      <c r="S929" s="150">
        <f t="shared" si="354"/>
        <v>1</v>
      </c>
      <c r="T929" s="152" t="s">
        <v>41</v>
      </c>
    </row>
    <row r="930" spans="3:20" ht="20.25" customHeight="1">
      <c r="C930" s="96"/>
      <c r="D930" s="102">
        <f t="shared" si="331"/>
        <v>930</v>
      </c>
      <c r="E930" s="106" t="s">
        <v>311</v>
      </c>
      <c r="F930" s="108">
        <f t="shared" si="352"/>
        <v>929</v>
      </c>
      <c r="G930" s="105" t="s">
        <v>312</v>
      </c>
      <c r="H930" s="105"/>
      <c r="I930" s="108">
        <f t="shared" si="355"/>
        <v>18</v>
      </c>
      <c r="J930" s="108" t="str">
        <f>J925</f>
        <v>0 mm</v>
      </c>
      <c r="K930" s="118">
        <v>1</v>
      </c>
      <c r="L930" s="118" t="s">
        <v>81</v>
      </c>
      <c r="M930" s="119">
        <v>1</v>
      </c>
      <c r="N930" s="104" t="s">
        <v>39</v>
      </c>
      <c r="O930" s="162">
        <f t="shared" ref="O930:P930" si="358">O929</f>
        <v>1</v>
      </c>
      <c r="P930" s="108" t="str">
        <f t="shared" si="358"/>
        <v>Day</v>
      </c>
      <c r="Q930" s="150">
        <f t="shared" si="353"/>
        <v>1</v>
      </c>
      <c r="R930" s="148"/>
      <c r="S930" s="150">
        <f t="shared" si="354"/>
        <v>1</v>
      </c>
      <c r="T930" s="152" t="s">
        <v>41</v>
      </c>
    </row>
    <row r="931" spans="3:20" ht="20.25" customHeight="1">
      <c r="C931" s="96">
        <f>D931</f>
        <v>931</v>
      </c>
      <c r="D931" s="102">
        <f t="shared" si="331"/>
        <v>931</v>
      </c>
      <c r="E931" s="103" t="s">
        <v>314</v>
      </c>
      <c r="F931" s="108">
        <f>D926</f>
        <v>926</v>
      </c>
      <c r="G931" s="105"/>
      <c r="H931" s="105"/>
      <c r="I931" s="104"/>
      <c r="J931" s="104"/>
      <c r="K931" s="118"/>
      <c r="L931" s="118"/>
      <c r="M931" s="119"/>
      <c r="N931" s="104"/>
      <c r="O931" s="120"/>
      <c r="P931" s="104"/>
      <c r="Q931" s="150">
        <f t="shared" si="353"/>
        <v>0</v>
      </c>
      <c r="R931" s="148"/>
      <c r="S931" s="150"/>
      <c r="T931" s="149"/>
    </row>
    <row r="932" spans="3:20" ht="20.25" customHeight="1">
      <c r="C932" s="96"/>
      <c r="D932" s="102">
        <f t="shared" si="331"/>
        <v>932</v>
      </c>
      <c r="E932" s="106" t="s">
        <v>314</v>
      </c>
      <c r="F932" s="108">
        <f t="shared" ref="F932:F935" si="359">D931</f>
        <v>931</v>
      </c>
      <c r="G932" s="105" t="s">
        <v>286</v>
      </c>
      <c r="H932" s="105"/>
      <c r="I932" s="108">
        <f>I930</f>
        <v>18</v>
      </c>
      <c r="J932" s="108" t="str">
        <f>J927</f>
        <v>2500 mm</v>
      </c>
      <c r="K932" s="118">
        <v>1</v>
      </c>
      <c r="L932" s="118" t="s">
        <v>81</v>
      </c>
      <c r="M932" s="142">
        <f>K932</f>
        <v>1</v>
      </c>
      <c r="N932" s="104" t="s">
        <v>39</v>
      </c>
      <c r="O932" s="120">
        <v>3</v>
      </c>
      <c r="P932" s="104" t="s">
        <v>112</v>
      </c>
      <c r="Q932" s="150">
        <f t="shared" si="353"/>
        <v>3</v>
      </c>
      <c r="R932" s="148">
        <v>1</v>
      </c>
      <c r="S932" s="150">
        <f t="shared" ref="S932:S935" si="360">Q932+R932</f>
        <v>4</v>
      </c>
      <c r="T932" s="152" t="s">
        <v>48</v>
      </c>
    </row>
    <row r="933" spans="3:20" ht="20.25" customHeight="1">
      <c r="C933" s="96"/>
      <c r="D933" s="102">
        <f t="shared" si="331"/>
        <v>933</v>
      </c>
      <c r="E933" s="106" t="s">
        <v>314</v>
      </c>
      <c r="F933" s="108">
        <f t="shared" si="359"/>
        <v>932</v>
      </c>
      <c r="G933" s="105" t="s">
        <v>286</v>
      </c>
      <c r="H933" s="105"/>
      <c r="I933" s="108">
        <f>I930</f>
        <v>18</v>
      </c>
      <c r="J933" s="108" t="str">
        <f>J928</f>
        <v>2500 mm</v>
      </c>
      <c r="K933" s="118">
        <v>1</v>
      </c>
      <c r="L933" s="118" t="s">
        <v>81</v>
      </c>
      <c r="M933" s="142">
        <f>K933</f>
        <v>1</v>
      </c>
      <c r="N933" s="104" t="s">
        <v>39</v>
      </c>
      <c r="O933" s="162">
        <f>O932</f>
        <v>3</v>
      </c>
      <c r="P933" s="104" t="s">
        <v>112</v>
      </c>
      <c r="Q933" s="150">
        <f t="shared" si="353"/>
        <v>3</v>
      </c>
      <c r="R933" s="148">
        <v>1</v>
      </c>
      <c r="S933" s="150">
        <f t="shared" si="360"/>
        <v>4</v>
      </c>
      <c r="T933" s="152" t="s">
        <v>48</v>
      </c>
    </row>
    <row r="934" spans="3:20" ht="20.25" customHeight="1">
      <c r="C934" s="96"/>
      <c r="D934" s="102">
        <f t="shared" si="331"/>
        <v>934</v>
      </c>
      <c r="E934" s="106" t="s">
        <v>314</v>
      </c>
      <c r="F934" s="108">
        <f t="shared" si="359"/>
        <v>933</v>
      </c>
      <c r="G934" s="105" t="s">
        <v>286</v>
      </c>
      <c r="H934" s="105"/>
      <c r="I934" s="108">
        <f>I930</f>
        <v>18</v>
      </c>
      <c r="J934" s="108" t="str">
        <f>J929</f>
        <v>1250 mm</v>
      </c>
      <c r="K934" s="118">
        <v>1</v>
      </c>
      <c r="L934" s="118" t="s">
        <v>81</v>
      </c>
      <c r="M934" s="142">
        <f>K934</f>
        <v>1</v>
      </c>
      <c r="N934" s="104" t="s">
        <v>39</v>
      </c>
      <c r="O934" s="162">
        <f>O933</f>
        <v>3</v>
      </c>
      <c r="P934" s="104" t="s">
        <v>112</v>
      </c>
      <c r="Q934" s="150">
        <f t="shared" si="353"/>
        <v>3</v>
      </c>
      <c r="R934" s="148">
        <v>1</v>
      </c>
      <c r="S934" s="150">
        <f t="shared" si="360"/>
        <v>4</v>
      </c>
      <c r="T934" s="152" t="s">
        <v>48</v>
      </c>
    </row>
    <row r="935" spans="3:20" ht="20.25" customHeight="1">
      <c r="C935" s="96"/>
      <c r="D935" s="102">
        <f t="shared" si="331"/>
        <v>935</v>
      </c>
      <c r="E935" s="106" t="s">
        <v>314</v>
      </c>
      <c r="F935" s="108">
        <f t="shared" si="359"/>
        <v>934</v>
      </c>
      <c r="G935" s="105" t="s">
        <v>286</v>
      </c>
      <c r="H935" s="105"/>
      <c r="I935" s="108">
        <f>I930</f>
        <v>18</v>
      </c>
      <c r="J935" s="108" t="str">
        <f>J930</f>
        <v>0 mm</v>
      </c>
      <c r="K935" s="118">
        <v>1</v>
      </c>
      <c r="L935" s="118" t="s">
        <v>81</v>
      </c>
      <c r="M935" s="142">
        <f>K935</f>
        <v>1</v>
      </c>
      <c r="N935" s="104" t="s">
        <v>39</v>
      </c>
      <c r="O935" s="162">
        <f>O934</f>
        <v>3</v>
      </c>
      <c r="P935" s="104" t="s">
        <v>112</v>
      </c>
      <c r="Q935" s="150">
        <f t="shared" si="353"/>
        <v>3</v>
      </c>
      <c r="R935" s="148">
        <v>1</v>
      </c>
      <c r="S935" s="150">
        <f t="shared" si="360"/>
        <v>4</v>
      </c>
      <c r="T935" s="152" t="s">
        <v>48</v>
      </c>
    </row>
    <row r="936" spans="3:20" ht="20.25" customHeight="1">
      <c r="C936" s="96">
        <f>D936</f>
        <v>936</v>
      </c>
      <c r="D936" s="102">
        <f t="shared" si="331"/>
        <v>936</v>
      </c>
      <c r="E936" s="103" t="s">
        <v>315</v>
      </c>
      <c r="F936" s="108">
        <f>D931</f>
        <v>931</v>
      </c>
      <c r="G936" s="105"/>
      <c r="H936" s="105"/>
      <c r="I936" s="104"/>
      <c r="J936" s="104"/>
      <c r="K936" s="118"/>
      <c r="L936" s="118"/>
      <c r="M936" s="119"/>
      <c r="N936" s="104"/>
      <c r="O936" s="120"/>
      <c r="P936" s="104"/>
      <c r="Q936" s="150"/>
      <c r="R936" s="148"/>
      <c r="S936" s="150"/>
      <c r="T936" s="149"/>
    </row>
    <row r="937" spans="3:20" ht="20.25" customHeight="1">
      <c r="C937" s="96"/>
      <c r="D937" s="102">
        <f t="shared" si="331"/>
        <v>937</v>
      </c>
      <c r="E937" s="106" t="s">
        <v>316</v>
      </c>
      <c r="F937" s="108">
        <f t="shared" ref="F937:F940" si="361">D936</f>
        <v>936</v>
      </c>
      <c r="G937" s="105" t="s">
        <v>44</v>
      </c>
      <c r="H937" s="105"/>
      <c r="I937" s="104">
        <v>18</v>
      </c>
      <c r="J937" s="112" t="s">
        <v>317</v>
      </c>
      <c r="K937" s="118">
        <v>1</v>
      </c>
      <c r="L937" s="118" t="s">
        <v>81</v>
      </c>
      <c r="M937" s="128">
        <f>LEFT(J937,SEARCH(" ",J937,1)-1)*3.142*K937*0.001</f>
        <v>4.9015199999999997</v>
      </c>
      <c r="N937" s="104" t="s">
        <v>139</v>
      </c>
      <c r="O937" s="162">
        <f>VLOOKUP(I937,BM!$B$3:$Y$62,10,FALSE)</f>
        <v>1</v>
      </c>
      <c r="P937" s="104" t="s">
        <v>112</v>
      </c>
      <c r="Q937" s="150">
        <f t="shared" ref="Q937:Q940" si="362">M937*O937</f>
        <v>4.9015199999999997</v>
      </c>
      <c r="R937" s="148">
        <v>1</v>
      </c>
      <c r="S937" s="150">
        <f t="shared" ref="S937:S940" si="363">Q937+R937</f>
        <v>5.9015199999999997</v>
      </c>
      <c r="T937" s="152" t="s">
        <v>48</v>
      </c>
    </row>
    <row r="938" spans="3:20" ht="20.25" customHeight="1">
      <c r="C938" s="96"/>
      <c r="D938" s="102">
        <f t="shared" si="331"/>
        <v>938</v>
      </c>
      <c r="E938" s="106" t="s">
        <v>316</v>
      </c>
      <c r="F938" s="108">
        <f t="shared" si="361"/>
        <v>937</v>
      </c>
      <c r="G938" s="105" t="s">
        <v>44</v>
      </c>
      <c r="H938" s="105"/>
      <c r="I938" s="104">
        <v>18</v>
      </c>
      <c r="J938" s="112" t="str">
        <f>J937</f>
        <v>1560 mm id</v>
      </c>
      <c r="K938" s="118">
        <v>1</v>
      </c>
      <c r="L938" s="118" t="s">
        <v>81</v>
      </c>
      <c r="M938" s="128">
        <f t="shared" ref="M938:M940" si="364">LEFT(J938,SEARCH(" ",J938,1)-1)*3.142*K938*0.001</f>
        <v>4.9015199999999997</v>
      </c>
      <c r="N938" s="104" t="s">
        <v>139</v>
      </c>
      <c r="O938" s="162">
        <f>VLOOKUP(I938,BM!$B$3:$Y$62,10,FALSE)</f>
        <v>1</v>
      </c>
      <c r="P938" s="104" t="s">
        <v>112</v>
      </c>
      <c r="Q938" s="150">
        <f t="shared" si="362"/>
        <v>4.9015199999999997</v>
      </c>
      <c r="R938" s="148">
        <v>1</v>
      </c>
      <c r="S938" s="150">
        <f t="shared" si="363"/>
        <v>5.9015199999999997</v>
      </c>
      <c r="T938" s="152" t="s">
        <v>48</v>
      </c>
    </row>
    <row r="939" spans="3:20" ht="20.25" customHeight="1">
      <c r="C939" s="96"/>
      <c r="D939" s="102">
        <f t="shared" si="331"/>
        <v>939</v>
      </c>
      <c r="E939" s="106" t="s">
        <v>316</v>
      </c>
      <c r="F939" s="108">
        <f t="shared" si="361"/>
        <v>938</v>
      </c>
      <c r="G939" s="105" t="s">
        <v>44</v>
      </c>
      <c r="H939" s="105"/>
      <c r="I939" s="104">
        <v>18</v>
      </c>
      <c r="J939" s="112" t="str">
        <f>J938</f>
        <v>1560 mm id</v>
      </c>
      <c r="K939" s="118">
        <v>1</v>
      </c>
      <c r="L939" s="118" t="s">
        <v>81</v>
      </c>
      <c r="M939" s="128">
        <f t="shared" si="364"/>
        <v>4.9015199999999997</v>
      </c>
      <c r="N939" s="104" t="s">
        <v>139</v>
      </c>
      <c r="O939" s="162">
        <f>VLOOKUP(I939,BM!$B$3:$Y$62,10,FALSE)</f>
        <v>1</v>
      </c>
      <c r="P939" s="104" t="s">
        <v>112</v>
      </c>
      <c r="Q939" s="150">
        <f t="shared" si="362"/>
        <v>4.9015199999999997</v>
      </c>
      <c r="R939" s="148">
        <v>1</v>
      </c>
      <c r="S939" s="150">
        <f t="shared" si="363"/>
        <v>5.9015199999999997</v>
      </c>
      <c r="T939" s="152" t="s">
        <v>48</v>
      </c>
    </row>
    <row r="940" spans="3:20" ht="20.25" customHeight="1">
      <c r="C940" s="96"/>
      <c r="D940" s="102">
        <f t="shared" si="331"/>
        <v>940</v>
      </c>
      <c r="E940" s="106" t="s">
        <v>316</v>
      </c>
      <c r="F940" s="108">
        <f t="shared" si="361"/>
        <v>939</v>
      </c>
      <c r="G940" s="105" t="s">
        <v>44</v>
      </c>
      <c r="H940" s="105"/>
      <c r="I940" s="104">
        <v>18</v>
      </c>
      <c r="J940" s="112" t="s">
        <v>318</v>
      </c>
      <c r="K940" s="118">
        <v>1</v>
      </c>
      <c r="L940" s="118" t="s">
        <v>81</v>
      </c>
      <c r="M940" s="128">
        <f t="shared" si="364"/>
        <v>0</v>
      </c>
      <c r="N940" s="104" t="s">
        <v>139</v>
      </c>
      <c r="O940" s="162">
        <f>VLOOKUP(I940,BM!$B$3:$Y$62,10,FALSE)</f>
        <v>1</v>
      </c>
      <c r="P940" s="104" t="s">
        <v>112</v>
      </c>
      <c r="Q940" s="150">
        <f t="shared" si="362"/>
        <v>0</v>
      </c>
      <c r="R940" s="148">
        <v>1</v>
      </c>
      <c r="S940" s="150">
        <f t="shared" si="363"/>
        <v>1</v>
      </c>
      <c r="T940" s="152" t="s">
        <v>48</v>
      </c>
    </row>
    <row r="941" spans="3:20" ht="20.25" customHeight="1">
      <c r="C941" s="96">
        <f>D941</f>
        <v>941</v>
      </c>
      <c r="D941" s="102">
        <f t="shared" si="331"/>
        <v>941</v>
      </c>
      <c r="E941" s="103" t="s">
        <v>319</v>
      </c>
      <c r="F941" s="108">
        <f>D936</f>
        <v>936</v>
      </c>
      <c r="G941" s="105"/>
      <c r="H941" s="105"/>
      <c r="I941" s="104"/>
      <c r="J941" s="104"/>
      <c r="K941" s="118"/>
      <c r="L941" s="118"/>
      <c r="M941" s="119"/>
      <c r="N941" s="104"/>
      <c r="O941" s="120"/>
      <c r="P941" s="104"/>
      <c r="Q941" s="150"/>
      <c r="R941" s="148"/>
      <c r="S941" s="150"/>
      <c r="T941" s="149"/>
    </row>
    <row r="942" spans="3:20" ht="20.25" customHeight="1">
      <c r="C942" s="96"/>
      <c r="D942" s="102">
        <f t="shared" si="331"/>
        <v>942</v>
      </c>
      <c r="E942" s="106" t="s">
        <v>320</v>
      </c>
      <c r="F942" s="108">
        <f t="shared" ref="F942:F943" si="365">D941</f>
        <v>941</v>
      </c>
      <c r="G942" s="105" t="s">
        <v>299</v>
      </c>
      <c r="H942" s="105"/>
      <c r="I942" s="104">
        <v>18</v>
      </c>
      <c r="J942" s="112" t="str">
        <f>J939</f>
        <v>1560 mm id</v>
      </c>
      <c r="K942" s="118">
        <v>1</v>
      </c>
      <c r="L942" s="118" t="s">
        <v>81</v>
      </c>
      <c r="M942" s="128">
        <f t="shared" ref="M942:M943" si="366">LEFT(J942,SEARCH(" ",J942,1)-1)*3.142*K942*0.001</f>
        <v>4.9015199999999997</v>
      </c>
      <c r="N942" s="104" t="s">
        <v>139</v>
      </c>
      <c r="O942" s="162">
        <f>VLOOKUP(I942,BM!$B$3:$Y$62,10,FALSE)</f>
        <v>1</v>
      </c>
      <c r="P942" s="104" t="s">
        <v>112</v>
      </c>
      <c r="Q942" s="150">
        <f t="shared" ref="Q942:Q943" si="367">M942*O942</f>
        <v>4.9015199999999997</v>
      </c>
      <c r="R942" s="148">
        <v>1</v>
      </c>
      <c r="S942" s="150">
        <f t="shared" ref="S942:S943" si="368">Q942+R942</f>
        <v>5.9015199999999997</v>
      </c>
      <c r="T942" s="152" t="s">
        <v>48</v>
      </c>
    </row>
    <row r="943" spans="3:20" ht="20.25" customHeight="1">
      <c r="C943" s="96"/>
      <c r="D943" s="102">
        <f t="shared" si="331"/>
        <v>943</v>
      </c>
      <c r="E943" s="106" t="s">
        <v>321</v>
      </c>
      <c r="F943" s="108">
        <f t="shared" si="365"/>
        <v>942</v>
      </c>
      <c r="G943" s="105" t="s">
        <v>44</v>
      </c>
      <c r="H943" s="105"/>
      <c r="I943" s="104">
        <v>18</v>
      </c>
      <c r="J943" s="112" t="str">
        <f t="shared" ref="J943" si="369">J942</f>
        <v>1560 mm id</v>
      </c>
      <c r="K943" s="118">
        <v>1</v>
      </c>
      <c r="L943" s="118" t="s">
        <v>81</v>
      </c>
      <c r="M943" s="128">
        <f t="shared" si="366"/>
        <v>4.9015199999999997</v>
      </c>
      <c r="N943" s="104" t="s">
        <v>139</v>
      </c>
      <c r="O943" s="120">
        <v>1</v>
      </c>
      <c r="P943" s="104" t="s">
        <v>112</v>
      </c>
      <c r="Q943" s="150">
        <f t="shared" si="367"/>
        <v>4.9015199999999997</v>
      </c>
      <c r="R943" s="148">
        <v>1</v>
      </c>
      <c r="S943" s="150">
        <f t="shared" si="368"/>
        <v>5.9015199999999997</v>
      </c>
      <c r="T943" s="152" t="s">
        <v>48</v>
      </c>
    </row>
    <row r="944" spans="3:20" ht="20.25" customHeight="1">
      <c r="C944" s="96">
        <f>D944</f>
        <v>944</v>
      </c>
      <c r="D944" s="102">
        <f t="shared" si="331"/>
        <v>944</v>
      </c>
      <c r="E944" s="103" t="s">
        <v>322</v>
      </c>
      <c r="F944" s="108">
        <f>D941</f>
        <v>941</v>
      </c>
      <c r="G944" s="105"/>
      <c r="H944" s="105"/>
      <c r="I944" s="104"/>
      <c r="J944" s="104"/>
      <c r="K944" s="118"/>
      <c r="L944" s="118"/>
      <c r="M944" s="119"/>
      <c r="N944" s="104"/>
      <c r="O944" s="120"/>
      <c r="P944" s="104"/>
      <c r="Q944" s="150"/>
      <c r="R944" s="148"/>
      <c r="S944" s="150"/>
      <c r="T944" s="149"/>
    </row>
    <row r="945" spans="3:20" ht="20.25" customHeight="1">
      <c r="C945" s="96"/>
      <c r="D945" s="102">
        <f t="shared" si="331"/>
        <v>945</v>
      </c>
      <c r="E945" s="106" t="s">
        <v>323</v>
      </c>
      <c r="F945" s="108">
        <f t="shared" ref="F945:F949" si="370">D944</f>
        <v>944</v>
      </c>
      <c r="G945" s="105" t="s">
        <v>44</v>
      </c>
      <c r="H945" s="105"/>
      <c r="I945" s="104">
        <v>18</v>
      </c>
      <c r="J945" s="104" t="str">
        <f>J943</f>
        <v>1560 mm id</v>
      </c>
      <c r="K945" s="118">
        <v>1</v>
      </c>
      <c r="L945" s="118" t="s">
        <v>81</v>
      </c>
      <c r="M945" s="119">
        <v>1</v>
      </c>
      <c r="N945" s="132" t="s">
        <v>81</v>
      </c>
      <c r="O945" s="120">
        <v>1</v>
      </c>
      <c r="P945" s="104" t="s">
        <v>112</v>
      </c>
      <c r="Q945" s="150">
        <f t="shared" ref="Q945:Q949" si="371">M945*O945</f>
        <v>1</v>
      </c>
      <c r="R945" s="148">
        <v>1</v>
      </c>
      <c r="S945" s="150">
        <f t="shared" ref="S945:S949" si="372">Q945+R945</f>
        <v>2</v>
      </c>
      <c r="T945" s="152" t="s">
        <v>48</v>
      </c>
    </row>
    <row r="946" spans="3:20" ht="20.25" customHeight="1">
      <c r="C946" s="96"/>
      <c r="D946" s="102">
        <f t="shared" si="331"/>
        <v>946</v>
      </c>
      <c r="E946" s="106" t="s">
        <v>324</v>
      </c>
      <c r="F946" s="108">
        <f t="shared" si="370"/>
        <v>945</v>
      </c>
      <c r="G946" s="105" t="s">
        <v>115</v>
      </c>
      <c r="H946" s="105"/>
      <c r="I946" s="108">
        <f>12</f>
        <v>12</v>
      </c>
      <c r="J946" s="104" t="str">
        <f>J945</f>
        <v>1560 mm id</v>
      </c>
      <c r="K946" s="118">
        <v>1</v>
      </c>
      <c r="L946" s="118" t="s">
        <v>81</v>
      </c>
      <c r="M946" s="128">
        <f t="shared" ref="M946:M949" si="373">LEFT(J946,SEARCH(" ",J946,1)-1)*3.142*K946*0.001</f>
        <v>4.9015199999999997</v>
      </c>
      <c r="N946" s="104" t="s">
        <v>139</v>
      </c>
      <c r="O946" s="162">
        <f>VLOOKUP(I946,BM!$B$3:$Y$62,17,FALSE)</f>
        <v>2.5</v>
      </c>
      <c r="P946" s="104" t="s">
        <v>112</v>
      </c>
      <c r="Q946" s="150">
        <f t="shared" si="371"/>
        <v>12.253799999999998</v>
      </c>
      <c r="R946" s="148">
        <v>1</v>
      </c>
      <c r="S946" s="150">
        <f t="shared" si="372"/>
        <v>13.253799999999998</v>
      </c>
      <c r="T946" s="152" t="s">
        <v>48</v>
      </c>
    </row>
    <row r="947" spans="3:20" ht="20.25" customHeight="1">
      <c r="C947" s="96"/>
      <c r="D947" s="102">
        <f t="shared" si="331"/>
        <v>947</v>
      </c>
      <c r="E947" s="106" t="s">
        <v>325</v>
      </c>
      <c r="F947" s="108">
        <f t="shared" si="370"/>
        <v>946</v>
      </c>
      <c r="G947" s="105" t="s">
        <v>61</v>
      </c>
      <c r="H947" s="105"/>
      <c r="I947" s="108">
        <f>18</f>
        <v>18</v>
      </c>
      <c r="J947" s="104" t="str">
        <f>J946</f>
        <v>1560 mm id</v>
      </c>
      <c r="K947" s="118">
        <v>1</v>
      </c>
      <c r="L947" s="118" t="s">
        <v>81</v>
      </c>
      <c r="M947" s="128">
        <f t="shared" si="373"/>
        <v>4.9015199999999997</v>
      </c>
      <c r="N947" s="104" t="s">
        <v>139</v>
      </c>
      <c r="O947" s="162">
        <f>VLOOKUP(I947,BM!$B$3:$Y$62,18,FALSE)</f>
        <v>1</v>
      </c>
      <c r="P947" s="104" t="s">
        <v>112</v>
      </c>
      <c r="Q947" s="150">
        <f t="shared" si="371"/>
        <v>4.9015199999999997</v>
      </c>
      <c r="R947" s="148">
        <v>1</v>
      </c>
      <c r="S947" s="150">
        <f t="shared" si="372"/>
        <v>5.9015199999999997</v>
      </c>
      <c r="T947" s="152" t="s">
        <v>48</v>
      </c>
    </row>
    <row r="948" spans="3:20" ht="20.25" customHeight="1">
      <c r="C948" s="96"/>
      <c r="D948" s="102">
        <f t="shared" si="331"/>
        <v>948</v>
      </c>
      <c r="E948" s="106" t="s">
        <v>326</v>
      </c>
      <c r="F948" s="108">
        <f t="shared" si="370"/>
        <v>947</v>
      </c>
      <c r="G948" s="105" t="s">
        <v>115</v>
      </c>
      <c r="H948" s="105"/>
      <c r="I948" s="104">
        <v>6</v>
      </c>
      <c r="J948" s="104" t="str">
        <f>J947</f>
        <v>1560 mm id</v>
      </c>
      <c r="K948" s="118">
        <v>1</v>
      </c>
      <c r="L948" s="118" t="s">
        <v>81</v>
      </c>
      <c r="M948" s="128">
        <f t="shared" si="373"/>
        <v>4.9015199999999997</v>
      </c>
      <c r="N948" s="104" t="s">
        <v>139</v>
      </c>
      <c r="O948" s="162">
        <f>VLOOKUP(I948,BM!$B$3:$Y$62,17,FALSE)</f>
        <v>0.9</v>
      </c>
      <c r="P948" s="104" t="s">
        <v>112</v>
      </c>
      <c r="Q948" s="150">
        <f t="shared" si="371"/>
        <v>4.4113679999999995</v>
      </c>
      <c r="R948" s="148">
        <v>1</v>
      </c>
      <c r="S948" s="150">
        <f t="shared" si="372"/>
        <v>5.4113679999999995</v>
      </c>
      <c r="T948" s="152" t="s">
        <v>48</v>
      </c>
    </row>
    <row r="949" spans="3:20" ht="20.25" customHeight="1">
      <c r="C949" s="96"/>
      <c r="D949" s="102">
        <f t="shared" si="331"/>
        <v>949</v>
      </c>
      <c r="E949" s="106" t="s">
        <v>327</v>
      </c>
      <c r="F949" s="108">
        <f t="shared" si="370"/>
        <v>948</v>
      </c>
      <c r="G949" s="105" t="s">
        <v>61</v>
      </c>
      <c r="H949" s="105"/>
      <c r="I949" s="104">
        <v>18</v>
      </c>
      <c r="J949" s="104" t="str">
        <f>J948</f>
        <v>1560 mm id</v>
      </c>
      <c r="K949" s="118">
        <v>1</v>
      </c>
      <c r="L949" s="118" t="s">
        <v>81</v>
      </c>
      <c r="M949" s="128">
        <f t="shared" si="373"/>
        <v>4.9015199999999997</v>
      </c>
      <c r="N949" s="104" t="s">
        <v>139</v>
      </c>
      <c r="O949" s="162">
        <f>VLOOKUP(I949,BM!$B$3:$Y$62,20,FALSE)</f>
        <v>0.5</v>
      </c>
      <c r="P949" s="104" t="s">
        <v>112</v>
      </c>
      <c r="Q949" s="150">
        <f t="shared" si="371"/>
        <v>2.4507599999999998</v>
      </c>
      <c r="R949" s="148">
        <v>1</v>
      </c>
      <c r="S949" s="150">
        <f t="shared" si="372"/>
        <v>3.4507599999999998</v>
      </c>
      <c r="T949" s="152" t="s">
        <v>48</v>
      </c>
    </row>
    <row r="950" spans="3:20" ht="20.25" customHeight="1">
      <c r="C950" s="96">
        <f>D950</f>
        <v>950</v>
      </c>
      <c r="D950" s="102">
        <f t="shared" si="331"/>
        <v>950</v>
      </c>
      <c r="E950" s="103" t="s">
        <v>328</v>
      </c>
      <c r="F950" s="108">
        <f>D944</f>
        <v>944</v>
      </c>
      <c r="G950" s="105"/>
      <c r="H950" s="105"/>
      <c r="I950" s="104"/>
      <c r="J950" s="104"/>
      <c r="K950" s="118"/>
      <c r="L950" s="118"/>
      <c r="M950" s="119"/>
      <c r="N950" s="104"/>
      <c r="O950" s="120"/>
      <c r="P950" s="104"/>
      <c r="Q950" s="150"/>
      <c r="R950" s="148"/>
      <c r="S950" s="150"/>
      <c r="T950" s="149"/>
    </row>
    <row r="951" spans="3:20" ht="20.25" customHeight="1">
      <c r="C951" s="96"/>
      <c r="D951" s="102">
        <f t="shared" si="331"/>
        <v>951</v>
      </c>
      <c r="E951" s="106" t="s">
        <v>329</v>
      </c>
      <c r="F951" s="108">
        <f t="shared" ref="F951:F952" si="374">D950</f>
        <v>950</v>
      </c>
      <c r="G951" s="105" t="s">
        <v>299</v>
      </c>
      <c r="H951" s="105"/>
      <c r="I951" s="104">
        <v>18</v>
      </c>
      <c r="J951" s="104" t="str">
        <f>J949</f>
        <v>1560 mm id</v>
      </c>
      <c r="K951" s="118">
        <v>1</v>
      </c>
      <c r="L951" s="118" t="s">
        <v>81</v>
      </c>
      <c r="M951" s="128">
        <f t="shared" ref="M951:M952" si="375">LEFT(J951,SEARCH(" ",J951,1)-1)*3.142*K951*0.001</f>
        <v>4.9015199999999997</v>
      </c>
      <c r="N951" s="104" t="s">
        <v>139</v>
      </c>
      <c r="O951" s="162">
        <f>VLOOKUP(I951,BM!$B$3:$Y$62,10,FALSE)</f>
        <v>1</v>
      </c>
      <c r="P951" s="104" t="s">
        <v>112</v>
      </c>
      <c r="Q951" s="150">
        <f t="shared" ref="Q951:Q958" si="376">M951*O951</f>
        <v>4.9015199999999997</v>
      </c>
      <c r="R951" s="148">
        <v>1</v>
      </c>
      <c r="S951" s="150">
        <f t="shared" ref="S951:S958" si="377">Q951+R951</f>
        <v>5.9015199999999997</v>
      </c>
      <c r="T951" s="152" t="s">
        <v>48</v>
      </c>
    </row>
    <row r="952" spans="3:20" ht="20.25" customHeight="1">
      <c r="C952" s="96"/>
      <c r="D952" s="102">
        <f t="shared" si="331"/>
        <v>952</v>
      </c>
      <c r="E952" s="106" t="s">
        <v>330</v>
      </c>
      <c r="F952" s="108">
        <f t="shared" si="374"/>
        <v>951</v>
      </c>
      <c r="G952" s="105" t="s">
        <v>44</v>
      </c>
      <c r="H952" s="105"/>
      <c r="I952" s="104">
        <v>18</v>
      </c>
      <c r="J952" s="104" t="str">
        <f>J949</f>
        <v>1560 mm id</v>
      </c>
      <c r="K952" s="118">
        <v>1</v>
      </c>
      <c r="L952" s="118" t="s">
        <v>81</v>
      </c>
      <c r="M952" s="128">
        <f t="shared" si="375"/>
        <v>4.9015199999999997</v>
      </c>
      <c r="N952" s="104" t="s">
        <v>139</v>
      </c>
      <c r="O952" s="120">
        <v>1</v>
      </c>
      <c r="P952" s="104" t="s">
        <v>112</v>
      </c>
      <c r="Q952" s="150">
        <f t="shared" si="376"/>
        <v>4.9015199999999997</v>
      </c>
      <c r="R952" s="148">
        <v>1</v>
      </c>
      <c r="S952" s="150">
        <f t="shared" si="377"/>
        <v>5.9015199999999997</v>
      </c>
      <c r="T952" s="152" t="s">
        <v>48</v>
      </c>
    </row>
    <row r="953" spans="3:20" ht="20.25" customHeight="1">
      <c r="C953" s="96">
        <f>D953</f>
        <v>953</v>
      </c>
      <c r="D953" s="102">
        <f t="shared" si="331"/>
        <v>953</v>
      </c>
      <c r="E953" s="103" t="s">
        <v>331</v>
      </c>
      <c r="F953" s="108">
        <f>D950</f>
        <v>950</v>
      </c>
      <c r="G953" s="105"/>
      <c r="H953" s="105"/>
      <c r="I953" s="104"/>
      <c r="J953" s="104"/>
      <c r="K953" s="118"/>
      <c r="L953" s="118"/>
      <c r="M953" s="119"/>
      <c r="N953" s="104"/>
      <c r="O953" s="120"/>
      <c r="P953" s="104"/>
      <c r="Q953" s="150">
        <f t="shared" si="376"/>
        <v>0</v>
      </c>
      <c r="R953" s="148"/>
      <c r="S953" s="150">
        <f t="shared" si="377"/>
        <v>0</v>
      </c>
      <c r="T953" s="149"/>
    </row>
    <row r="954" spans="3:20" ht="20.25" customHeight="1">
      <c r="C954" s="96"/>
      <c r="D954" s="102">
        <f t="shared" si="331"/>
        <v>954</v>
      </c>
      <c r="E954" s="106" t="s">
        <v>332</v>
      </c>
      <c r="F954" s="108">
        <f t="shared" ref="F954:F958" si="378">D953</f>
        <v>953</v>
      </c>
      <c r="G954" s="105" t="s">
        <v>44</v>
      </c>
      <c r="H954" s="105"/>
      <c r="I954" s="104">
        <v>18</v>
      </c>
      <c r="J954" s="104" t="str">
        <f>J949</f>
        <v>1560 mm id</v>
      </c>
      <c r="K954" s="118">
        <v>1</v>
      </c>
      <c r="L954" s="118" t="s">
        <v>81</v>
      </c>
      <c r="M954" s="119">
        <v>1</v>
      </c>
      <c r="N954" s="104" t="s">
        <v>139</v>
      </c>
      <c r="O954" s="120">
        <v>1</v>
      </c>
      <c r="P954" s="104" t="s">
        <v>112</v>
      </c>
      <c r="Q954" s="150">
        <f t="shared" si="376"/>
        <v>1</v>
      </c>
      <c r="R954" s="148">
        <v>1</v>
      </c>
      <c r="S954" s="150">
        <f t="shared" si="377"/>
        <v>2</v>
      </c>
      <c r="T954" s="152" t="s">
        <v>48</v>
      </c>
    </row>
    <row r="955" spans="3:20" ht="20.25" customHeight="1">
      <c r="C955" s="96"/>
      <c r="D955" s="102">
        <f t="shared" si="331"/>
        <v>955</v>
      </c>
      <c r="E955" s="106" t="s">
        <v>333</v>
      </c>
      <c r="F955" s="108">
        <f t="shared" si="378"/>
        <v>954</v>
      </c>
      <c r="G955" s="105" t="s">
        <v>115</v>
      </c>
      <c r="H955" s="105"/>
      <c r="I955" s="108">
        <f>12</f>
        <v>12</v>
      </c>
      <c r="J955" s="104" t="str">
        <f>J952</f>
        <v>1560 mm id</v>
      </c>
      <c r="K955" s="118">
        <v>1</v>
      </c>
      <c r="L955" s="118" t="s">
        <v>81</v>
      </c>
      <c r="M955" s="128">
        <f t="shared" ref="M955:M958" si="379">LEFT(J955,SEARCH(" ",J955,1)-1)*3.142*K955*0.001</f>
        <v>4.9015199999999997</v>
      </c>
      <c r="N955" s="104" t="s">
        <v>139</v>
      </c>
      <c r="O955" s="162">
        <f>VLOOKUP(I955,BM!$B$3:$Y$62,17,FALSE)</f>
        <v>2.5</v>
      </c>
      <c r="P955" s="104" t="s">
        <v>112</v>
      </c>
      <c r="Q955" s="150">
        <f t="shared" si="376"/>
        <v>12.253799999999998</v>
      </c>
      <c r="R955" s="148">
        <v>1</v>
      </c>
      <c r="S955" s="150">
        <f t="shared" si="377"/>
        <v>13.253799999999998</v>
      </c>
      <c r="T955" s="152" t="s">
        <v>48</v>
      </c>
    </row>
    <row r="956" spans="3:20" ht="20.25" customHeight="1">
      <c r="C956" s="96"/>
      <c r="D956" s="102">
        <f t="shared" si="331"/>
        <v>956</v>
      </c>
      <c r="E956" s="106" t="s">
        <v>334</v>
      </c>
      <c r="F956" s="108">
        <f t="shared" si="378"/>
        <v>955</v>
      </c>
      <c r="G956" s="105" t="s">
        <v>61</v>
      </c>
      <c r="H956" s="105"/>
      <c r="I956" s="108">
        <f>18</f>
        <v>18</v>
      </c>
      <c r="J956" s="104" t="str">
        <f>J955</f>
        <v>1560 mm id</v>
      </c>
      <c r="K956" s="118">
        <v>1</v>
      </c>
      <c r="L956" s="118" t="s">
        <v>81</v>
      </c>
      <c r="M956" s="128">
        <f t="shared" si="379"/>
        <v>4.9015199999999997</v>
      </c>
      <c r="N956" s="104" t="s">
        <v>139</v>
      </c>
      <c r="O956" s="162">
        <f>VLOOKUP(I956,BM!$B$3:$Y$62,18,FALSE)</f>
        <v>1</v>
      </c>
      <c r="P956" s="104" t="s">
        <v>112</v>
      </c>
      <c r="Q956" s="150">
        <f t="shared" si="376"/>
        <v>4.9015199999999997</v>
      </c>
      <c r="R956" s="148">
        <v>1</v>
      </c>
      <c r="S956" s="150">
        <f t="shared" si="377"/>
        <v>5.9015199999999997</v>
      </c>
      <c r="T956" s="152" t="s">
        <v>48</v>
      </c>
    </row>
    <row r="957" spans="3:20" ht="20.25" customHeight="1">
      <c r="C957" s="96"/>
      <c r="D957" s="102">
        <f t="shared" si="331"/>
        <v>957</v>
      </c>
      <c r="E957" s="106" t="s">
        <v>335</v>
      </c>
      <c r="F957" s="108">
        <f t="shared" si="378"/>
        <v>956</v>
      </c>
      <c r="G957" s="105" t="s">
        <v>115</v>
      </c>
      <c r="H957" s="105"/>
      <c r="I957" s="104">
        <v>6</v>
      </c>
      <c r="J957" s="104" t="str">
        <f>J956</f>
        <v>1560 mm id</v>
      </c>
      <c r="K957" s="118">
        <v>1</v>
      </c>
      <c r="L957" s="118" t="s">
        <v>81</v>
      </c>
      <c r="M957" s="128">
        <f t="shared" si="379"/>
        <v>4.9015199999999997</v>
      </c>
      <c r="N957" s="104" t="s">
        <v>139</v>
      </c>
      <c r="O957" s="162">
        <f>VLOOKUP(I957,BM!$B$3:$Y$62,17,FALSE)</f>
        <v>0.9</v>
      </c>
      <c r="P957" s="104" t="s">
        <v>112</v>
      </c>
      <c r="Q957" s="150">
        <f t="shared" si="376"/>
        <v>4.4113679999999995</v>
      </c>
      <c r="R957" s="148">
        <v>1</v>
      </c>
      <c r="S957" s="150">
        <f t="shared" si="377"/>
        <v>5.4113679999999995</v>
      </c>
      <c r="T957" s="152" t="s">
        <v>48</v>
      </c>
    </row>
    <row r="958" spans="3:20" ht="20.25" customHeight="1">
      <c r="C958" s="96"/>
      <c r="D958" s="102">
        <f t="shared" si="331"/>
        <v>958</v>
      </c>
      <c r="E958" s="106" t="s">
        <v>336</v>
      </c>
      <c r="F958" s="108">
        <f t="shared" si="378"/>
        <v>957</v>
      </c>
      <c r="G958" s="105" t="s">
        <v>61</v>
      </c>
      <c r="H958" s="105"/>
      <c r="I958" s="104">
        <v>18</v>
      </c>
      <c r="J958" s="104" t="str">
        <f>J957</f>
        <v>1560 mm id</v>
      </c>
      <c r="K958" s="118">
        <v>1</v>
      </c>
      <c r="L958" s="118" t="s">
        <v>81</v>
      </c>
      <c r="M958" s="128">
        <f t="shared" si="379"/>
        <v>4.9015199999999997</v>
      </c>
      <c r="N958" s="104" t="s">
        <v>139</v>
      </c>
      <c r="O958" s="162">
        <f>VLOOKUP(I958,BM!$B$3:$Y$62,20,FALSE)</f>
        <v>0.5</v>
      </c>
      <c r="P958" s="104" t="s">
        <v>112</v>
      </c>
      <c r="Q958" s="150">
        <f t="shared" si="376"/>
        <v>2.4507599999999998</v>
      </c>
      <c r="R958" s="148">
        <v>1</v>
      </c>
      <c r="S958" s="150">
        <f t="shared" si="377"/>
        <v>3.4507599999999998</v>
      </c>
      <c r="T958" s="152" t="s">
        <v>48</v>
      </c>
    </row>
    <row r="959" spans="3:20" ht="20.25" customHeight="1">
      <c r="C959" s="96">
        <f>D959</f>
        <v>959</v>
      </c>
      <c r="D959" s="102">
        <f t="shared" si="331"/>
        <v>959</v>
      </c>
      <c r="E959" s="103" t="s">
        <v>337</v>
      </c>
      <c r="F959" s="108">
        <f>D953</f>
        <v>953</v>
      </c>
      <c r="G959" s="105"/>
      <c r="H959" s="105"/>
      <c r="I959" s="104"/>
      <c r="J959" s="104"/>
      <c r="K959" s="118"/>
      <c r="L959" s="118"/>
      <c r="M959" s="119"/>
      <c r="N959" s="104"/>
      <c r="O959" s="120"/>
      <c r="P959" s="104"/>
      <c r="Q959" s="150"/>
      <c r="R959" s="148"/>
      <c r="S959" s="150"/>
      <c r="T959" s="149"/>
    </row>
    <row r="960" spans="3:20" ht="20.25" customHeight="1">
      <c r="C960" s="96"/>
      <c r="D960" s="102">
        <f t="shared" si="331"/>
        <v>960</v>
      </c>
      <c r="E960" s="106" t="s">
        <v>338</v>
      </c>
      <c r="F960" s="108">
        <f t="shared" ref="F960:F961" si="380">D959</f>
        <v>959</v>
      </c>
      <c r="G960" s="105" t="s">
        <v>299</v>
      </c>
      <c r="H960" s="105"/>
      <c r="I960" s="104">
        <v>18</v>
      </c>
      <c r="J960" s="104" t="str">
        <f>J958</f>
        <v>1560 mm id</v>
      </c>
      <c r="K960" s="118">
        <v>1</v>
      </c>
      <c r="L960" s="118" t="s">
        <v>81</v>
      </c>
      <c r="M960" s="128">
        <f t="shared" ref="M960:M961" si="381">LEFT(J960,SEARCH(" ",J960,1)-1)*3.142*K960*0.001</f>
        <v>4.9015199999999997</v>
      </c>
      <c r="N960" s="104" t="s">
        <v>139</v>
      </c>
      <c r="O960" s="162">
        <f>VLOOKUP(I960,BM!$B$3:$Y$62,10,FALSE)</f>
        <v>1</v>
      </c>
      <c r="P960" s="104" t="s">
        <v>112</v>
      </c>
      <c r="Q960" s="150">
        <f t="shared" ref="Q960:Q961" si="382">M960*O960</f>
        <v>4.9015199999999997</v>
      </c>
      <c r="R960" s="148">
        <v>1</v>
      </c>
      <c r="S960" s="150">
        <f t="shared" ref="S960:S961" si="383">Q960+R960</f>
        <v>5.9015199999999997</v>
      </c>
      <c r="T960" s="152" t="s">
        <v>48</v>
      </c>
    </row>
    <row r="961" spans="3:20" ht="20.25" customHeight="1">
      <c r="C961" s="96"/>
      <c r="D961" s="102">
        <f t="shared" si="331"/>
        <v>961</v>
      </c>
      <c r="E961" s="106" t="s">
        <v>339</v>
      </c>
      <c r="F961" s="108">
        <f t="shared" si="380"/>
        <v>960</v>
      </c>
      <c r="G961" s="105" t="s">
        <v>44</v>
      </c>
      <c r="H961" s="105"/>
      <c r="I961" s="104">
        <v>18</v>
      </c>
      <c r="J961" s="104" t="str">
        <f>J958</f>
        <v>1560 mm id</v>
      </c>
      <c r="K961" s="118">
        <v>1</v>
      </c>
      <c r="L961" s="118" t="s">
        <v>81</v>
      </c>
      <c r="M961" s="128">
        <f t="shared" si="381"/>
        <v>4.9015199999999997</v>
      </c>
      <c r="N961" s="104" t="s">
        <v>139</v>
      </c>
      <c r="O961" s="120">
        <v>1</v>
      </c>
      <c r="P961" s="104" t="s">
        <v>112</v>
      </c>
      <c r="Q961" s="150">
        <f t="shared" si="382"/>
        <v>4.9015199999999997</v>
      </c>
      <c r="R961" s="148">
        <v>1</v>
      </c>
      <c r="S961" s="150">
        <f t="shared" si="383"/>
        <v>5.9015199999999997</v>
      </c>
      <c r="T961" s="166" t="s">
        <v>48</v>
      </c>
    </row>
    <row r="962" spans="3:20" ht="20.25" customHeight="1">
      <c r="C962" s="96">
        <f>D962</f>
        <v>962</v>
      </c>
      <c r="D962" s="102">
        <f t="shared" si="331"/>
        <v>962</v>
      </c>
      <c r="E962" s="103" t="s">
        <v>340</v>
      </c>
      <c r="F962" s="108">
        <f>D959</f>
        <v>959</v>
      </c>
      <c r="G962" s="105"/>
      <c r="H962" s="105"/>
      <c r="I962" s="104"/>
      <c r="J962" s="104"/>
      <c r="K962" s="118"/>
      <c r="L962" s="118"/>
      <c r="M962" s="119"/>
      <c r="N962" s="104"/>
      <c r="O962" s="120"/>
      <c r="P962" s="104"/>
      <c r="Q962" s="150"/>
      <c r="R962" s="148"/>
      <c r="S962" s="150"/>
      <c r="T962" s="149"/>
    </row>
    <row r="963" spans="3:20" ht="20.25" customHeight="1">
      <c r="C963" s="96"/>
      <c r="D963" s="102">
        <f t="shared" si="331"/>
        <v>963</v>
      </c>
      <c r="E963" s="106" t="s">
        <v>341</v>
      </c>
      <c r="F963" s="108">
        <f t="shared" ref="F963:F967" si="384">D962</f>
        <v>962</v>
      </c>
      <c r="G963" s="105" t="s">
        <v>44</v>
      </c>
      <c r="H963" s="105"/>
      <c r="I963" s="104">
        <v>18</v>
      </c>
      <c r="J963" s="104" t="str">
        <f>J961</f>
        <v>1560 mm id</v>
      </c>
      <c r="K963" s="118">
        <v>1</v>
      </c>
      <c r="L963" s="118" t="s">
        <v>81</v>
      </c>
      <c r="M963" s="119">
        <v>1</v>
      </c>
      <c r="N963" s="104" t="s">
        <v>139</v>
      </c>
      <c r="O963" s="120">
        <v>1</v>
      </c>
      <c r="P963" s="104" t="s">
        <v>112</v>
      </c>
      <c r="Q963" s="150">
        <f t="shared" ref="Q963:Q967" si="385">M963*O963</f>
        <v>1</v>
      </c>
      <c r="R963" s="148">
        <v>1</v>
      </c>
      <c r="S963" s="150">
        <f t="shared" ref="S963:S967" si="386">Q963+R963</f>
        <v>2</v>
      </c>
      <c r="T963" s="166" t="s">
        <v>48</v>
      </c>
    </row>
    <row r="964" spans="3:20" ht="20.25" customHeight="1">
      <c r="C964" s="96"/>
      <c r="D964" s="102">
        <f t="shared" ref="D964:D1027" si="387">D963+1</f>
        <v>964</v>
      </c>
      <c r="E964" s="106" t="s">
        <v>342</v>
      </c>
      <c r="F964" s="108">
        <f t="shared" si="384"/>
        <v>963</v>
      </c>
      <c r="G964" s="105" t="s">
        <v>115</v>
      </c>
      <c r="H964" s="105"/>
      <c r="I964" s="108">
        <f>12</f>
        <v>12</v>
      </c>
      <c r="J964" s="104" t="str">
        <f>J963</f>
        <v>1560 mm id</v>
      </c>
      <c r="K964" s="118">
        <v>1</v>
      </c>
      <c r="L964" s="118" t="s">
        <v>81</v>
      </c>
      <c r="M964" s="128">
        <f t="shared" ref="M964:M967" si="388">LEFT(J964,SEARCH(" ",J964,1)-1)*3.142*K964*0.001</f>
        <v>4.9015199999999997</v>
      </c>
      <c r="N964" s="104" t="s">
        <v>139</v>
      </c>
      <c r="O964" s="162">
        <f>VLOOKUP(I964,BM!$B$3:$Y$62,17,FALSE)</f>
        <v>2.5</v>
      </c>
      <c r="P964" s="104" t="s">
        <v>112</v>
      </c>
      <c r="Q964" s="150">
        <f t="shared" si="385"/>
        <v>12.253799999999998</v>
      </c>
      <c r="R964" s="148">
        <v>1</v>
      </c>
      <c r="S964" s="150">
        <f t="shared" si="386"/>
        <v>13.253799999999998</v>
      </c>
      <c r="T964" s="166" t="s">
        <v>48</v>
      </c>
    </row>
    <row r="965" spans="3:20" ht="20.25" customHeight="1">
      <c r="C965" s="96"/>
      <c r="D965" s="102">
        <f t="shared" si="387"/>
        <v>965</v>
      </c>
      <c r="E965" s="106" t="s">
        <v>343</v>
      </c>
      <c r="F965" s="108">
        <f t="shared" si="384"/>
        <v>964</v>
      </c>
      <c r="G965" s="105" t="s">
        <v>61</v>
      </c>
      <c r="H965" s="105"/>
      <c r="I965" s="108">
        <f>18</f>
        <v>18</v>
      </c>
      <c r="J965" s="104" t="str">
        <f>J964</f>
        <v>1560 mm id</v>
      </c>
      <c r="K965" s="118">
        <v>1</v>
      </c>
      <c r="L965" s="118" t="s">
        <v>81</v>
      </c>
      <c r="M965" s="128">
        <f t="shared" si="388"/>
        <v>4.9015199999999997</v>
      </c>
      <c r="N965" s="104" t="s">
        <v>139</v>
      </c>
      <c r="O965" s="162">
        <f>VLOOKUP(I965,BM!$B$3:$Y$62,18,FALSE)</f>
        <v>1</v>
      </c>
      <c r="P965" s="104" t="s">
        <v>112</v>
      </c>
      <c r="Q965" s="150">
        <f t="shared" si="385"/>
        <v>4.9015199999999997</v>
      </c>
      <c r="R965" s="148">
        <v>1</v>
      </c>
      <c r="S965" s="150">
        <f t="shared" si="386"/>
        <v>5.9015199999999997</v>
      </c>
      <c r="T965" s="166" t="s">
        <v>48</v>
      </c>
    </row>
    <row r="966" spans="3:20" ht="20.25" customHeight="1">
      <c r="C966" s="96"/>
      <c r="D966" s="102">
        <f t="shared" si="387"/>
        <v>966</v>
      </c>
      <c r="E966" s="106" t="s">
        <v>344</v>
      </c>
      <c r="F966" s="108">
        <f t="shared" si="384"/>
        <v>965</v>
      </c>
      <c r="G966" s="105" t="s">
        <v>115</v>
      </c>
      <c r="H966" s="105"/>
      <c r="I966" s="104">
        <v>6</v>
      </c>
      <c r="J966" s="104" t="str">
        <f>J965</f>
        <v>1560 mm id</v>
      </c>
      <c r="K966" s="118">
        <v>1</v>
      </c>
      <c r="L966" s="118" t="s">
        <v>81</v>
      </c>
      <c r="M966" s="128">
        <f t="shared" si="388"/>
        <v>4.9015199999999997</v>
      </c>
      <c r="N966" s="104" t="s">
        <v>139</v>
      </c>
      <c r="O966" s="162">
        <f>VLOOKUP(I966,BM!$B$3:$Y$62,17,FALSE)</f>
        <v>0.9</v>
      </c>
      <c r="P966" s="104" t="s">
        <v>112</v>
      </c>
      <c r="Q966" s="150">
        <f t="shared" si="385"/>
        <v>4.4113679999999995</v>
      </c>
      <c r="R966" s="148">
        <v>1</v>
      </c>
      <c r="S966" s="150">
        <f t="shared" si="386"/>
        <v>5.4113679999999995</v>
      </c>
      <c r="T966" s="166" t="s">
        <v>48</v>
      </c>
    </row>
    <row r="967" spans="3:20" ht="20.25" customHeight="1">
      <c r="C967" s="96"/>
      <c r="D967" s="102">
        <f t="shared" si="387"/>
        <v>967</v>
      </c>
      <c r="E967" s="106" t="s">
        <v>345</v>
      </c>
      <c r="F967" s="108">
        <f t="shared" si="384"/>
        <v>966</v>
      </c>
      <c r="G967" s="105" t="s">
        <v>61</v>
      </c>
      <c r="H967" s="105"/>
      <c r="I967" s="104">
        <v>18</v>
      </c>
      <c r="J967" s="104" t="str">
        <f>J966</f>
        <v>1560 mm id</v>
      </c>
      <c r="K967" s="118">
        <v>1</v>
      </c>
      <c r="L967" s="118" t="s">
        <v>81</v>
      </c>
      <c r="M967" s="128">
        <f t="shared" si="388"/>
        <v>4.9015199999999997</v>
      </c>
      <c r="N967" s="104" t="s">
        <v>139</v>
      </c>
      <c r="O967" s="162">
        <f>VLOOKUP(I967,BM!$B$3:$Y$62,20,FALSE)</f>
        <v>0.5</v>
      </c>
      <c r="P967" s="104" t="s">
        <v>112</v>
      </c>
      <c r="Q967" s="150">
        <f t="shared" si="385"/>
        <v>2.4507599999999998</v>
      </c>
      <c r="R967" s="148">
        <v>1</v>
      </c>
      <c r="S967" s="150">
        <f t="shared" si="386"/>
        <v>3.4507599999999998</v>
      </c>
      <c r="T967" s="166" t="s">
        <v>48</v>
      </c>
    </row>
    <row r="968" spans="3:20" ht="20.25" customHeight="1">
      <c r="C968" s="96">
        <f>D968</f>
        <v>968</v>
      </c>
      <c r="D968" s="102">
        <f t="shared" si="387"/>
        <v>968</v>
      </c>
      <c r="E968" s="103" t="s">
        <v>346</v>
      </c>
      <c r="F968" s="108">
        <f>D962</f>
        <v>962</v>
      </c>
      <c r="G968" s="105"/>
      <c r="H968" s="105"/>
      <c r="I968" s="104"/>
      <c r="J968" s="104"/>
      <c r="K968" s="118"/>
      <c r="L968" s="118"/>
      <c r="M968" s="119"/>
      <c r="N968" s="104"/>
      <c r="O968" s="120"/>
      <c r="P968" s="104"/>
      <c r="Q968" s="150"/>
      <c r="R968" s="148"/>
      <c r="S968" s="150"/>
      <c r="T968" s="149"/>
    </row>
    <row r="969" spans="3:20" ht="20.25" customHeight="1">
      <c r="C969" s="96"/>
      <c r="D969" s="102">
        <f t="shared" si="387"/>
        <v>969</v>
      </c>
      <c r="E969" s="106" t="s">
        <v>347</v>
      </c>
      <c r="F969" s="108">
        <f t="shared" ref="F969:F971" si="389">D968</f>
        <v>968</v>
      </c>
      <c r="G969" s="105" t="s">
        <v>348</v>
      </c>
      <c r="H969" s="105"/>
      <c r="I969" s="104">
        <v>18</v>
      </c>
      <c r="J969" s="104" t="str">
        <f>J967</f>
        <v>1560 mm id</v>
      </c>
      <c r="K969" s="118">
        <v>1</v>
      </c>
      <c r="L969" s="141" t="s">
        <v>39</v>
      </c>
      <c r="M969" s="119">
        <v>1</v>
      </c>
      <c r="N969" s="104" t="s">
        <v>39</v>
      </c>
      <c r="O969" s="120">
        <v>4</v>
      </c>
      <c r="P969" s="104" t="s">
        <v>112</v>
      </c>
      <c r="Q969" s="150">
        <f t="shared" ref="Q969:Q971" si="390">M969*O969</f>
        <v>4</v>
      </c>
      <c r="R969" s="148">
        <v>1</v>
      </c>
      <c r="S969" s="150">
        <f t="shared" ref="S969:S971" si="391">Q969+R969</f>
        <v>5</v>
      </c>
      <c r="T969" s="166" t="s">
        <v>48</v>
      </c>
    </row>
    <row r="970" spans="3:20" ht="20.25" customHeight="1">
      <c r="C970" s="96"/>
      <c r="D970" s="102">
        <f t="shared" si="387"/>
        <v>970</v>
      </c>
      <c r="E970" s="106" t="s">
        <v>349</v>
      </c>
      <c r="F970" s="108">
        <f t="shared" si="389"/>
        <v>969</v>
      </c>
      <c r="G970" s="105" t="s">
        <v>52</v>
      </c>
      <c r="H970" s="105"/>
      <c r="I970" s="104">
        <v>18</v>
      </c>
      <c r="J970" s="104" t="str">
        <f>J969</f>
        <v>1560 mm id</v>
      </c>
      <c r="K970" s="118">
        <v>1</v>
      </c>
      <c r="L970" s="141" t="s">
        <v>39</v>
      </c>
      <c r="M970" s="128">
        <f t="shared" ref="M970:M971" si="392">LEFT(J970,SEARCH(" ",J970,1)-1)*3.142*K970*0.001</f>
        <v>4.9015199999999997</v>
      </c>
      <c r="N970" s="104" t="s">
        <v>139</v>
      </c>
      <c r="O970" s="162">
        <f>VLOOKUP(I970,BM!$B$3:$Y$62,5,FALSE)</f>
        <v>0.5</v>
      </c>
      <c r="P970" s="104" t="s">
        <v>112</v>
      </c>
      <c r="Q970" s="150">
        <f t="shared" si="390"/>
        <v>2.4507599999999998</v>
      </c>
      <c r="R970" s="148">
        <v>1</v>
      </c>
      <c r="S970" s="150">
        <f t="shared" si="391"/>
        <v>3.4507599999999998</v>
      </c>
      <c r="T970" s="166" t="s">
        <v>48</v>
      </c>
    </row>
    <row r="971" spans="3:20" ht="20.25" customHeight="1">
      <c r="C971" s="96"/>
      <c r="D971" s="102">
        <f t="shared" si="387"/>
        <v>971</v>
      </c>
      <c r="E971" s="106" t="s">
        <v>350</v>
      </c>
      <c r="F971" s="108">
        <f t="shared" si="389"/>
        <v>970</v>
      </c>
      <c r="G971" s="105" t="s">
        <v>121</v>
      </c>
      <c r="H971" s="105"/>
      <c r="I971" s="104">
        <v>18</v>
      </c>
      <c r="J971" s="104" t="str">
        <f>J970</f>
        <v>1560 mm id</v>
      </c>
      <c r="K971" s="118">
        <v>1</v>
      </c>
      <c r="L971" s="141" t="s">
        <v>39</v>
      </c>
      <c r="M971" s="128">
        <f t="shared" si="392"/>
        <v>4.9015199999999997</v>
      </c>
      <c r="N971" s="104" t="s">
        <v>139</v>
      </c>
      <c r="O971" s="162">
        <f>VLOOKUP(I971,BM!$B$3:$Y$62,5,FALSE)</f>
        <v>0.5</v>
      </c>
      <c r="P971" s="104" t="s">
        <v>112</v>
      </c>
      <c r="Q971" s="150">
        <f t="shared" si="390"/>
        <v>2.4507599999999998</v>
      </c>
      <c r="R971" s="148">
        <v>1</v>
      </c>
      <c r="S971" s="150">
        <f t="shared" si="391"/>
        <v>3.4507599999999998</v>
      </c>
      <c r="T971" s="166" t="s">
        <v>48</v>
      </c>
    </row>
    <row r="972" spans="3:20" ht="20.25" customHeight="1">
      <c r="C972" s="96">
        <f>D972</f>
        <v>972</v>
      </c>
      <c r="D972" s="102">
        <f t="shared" si="387"/>
        <v>972</v>
      </c>
      <c r="E972" s="103" t="s">
        <v>351</v>
      </c>
      <c r="F972" s="108">
        <f>D968</f>
        <v>968</v>
      </c>
      <c r="G972" s="105"/>
      <c r="H972" s="105"/>
      <c r="I972" s="104"/>
      <c r="J972" s="104"/>
      <c r="K972" s="118"/>
      <c r="L972" s="118"/>
      <c r="M972" s="119"/>
      <c r="N972" s="104"/>
      <c r="O972" s="120"/>
      <c r="P972" s="104"/>
      <c r="Q972" s="150"/>
      <c r="R972" s="148"/>
      <c r="S972" s="150"/>
      <c r="T972" s="149"/>
    </row>
    <row r="973" spans="3:20" ht="20.25" customHeight="1">
      <c r="C973" s="96"/>
      <c r="D973" s="102">
        <f t="shared" si="387"/>
        <v>973</v>
      </c>
      <c r="E973" s="106" t="s">
        <v>352</v>
      </c>
      <c r="F973" s="108">
        <f t="shared" ref="F973:F974" si="393">D972</f>
        <v>972</v>
      </c>
      <c r="G973" s="105" t="s">
        <v>299</v>
      </c>
      <c r="H973" s="105"/>
      <c r="I973" s="104">
        <v>18</v>
      </c>
      <c r="J973" s="104" t="str">
        <f>J971</f>
        <v>1560 mm id</v>
      </c>
      <c r="K973" s="118">
        <v>1</v>
      </c>
      <c r="L973" s="118" t="s">
        <v>81</v>
      </c>
      <c r="M973" s="128">
        <f t="shared" ref="M973:M974" si="394">LEFT(J973,SEARCH(" ",J973,1)-1)*3.142*K973*0.001</f>
        <v>4.9015199999999997</v>
      </c>
      <c r="N973" s="104" t="s">
        <v>139</v>
      </c>
      <c r="O973" s="162">
        <f>VLOOKUP(I973,BM!$B$3:$Y$62,10,FALSE)</f>
        <v>1</v>
      </c>
      <c r="P973" s="104" t="s">
        <v>112</v>
      </c>
      <c r="Q973" s="150">
        <f t="shared" ref="Q973:Q974" si="395">M973*O973</f>
        <v>4.9015199999999997</v>
      </c>
      <c r="R973" s="148">
        <v>1</v>
      </c>
      <c r="S973" s="150">
        <f t="shared" ref="S973:S974" si="396">Q973+R973</f>
        <v>5.9015199999999997</v>
      </c>
      <c r="T973" s="166" t="s">
        <v>48</v>
      </c>
    </row>
    <row r="974" spans="3:20" ht="20.25" customHeight="1">
      <c r="C974" s="96"/>
      <c r="D974" s="102">
        <f t="shared" si="387"/>
        <v>974</v>
      </c>
      <c r="E974" s="106" t="s">
        <v>353</v>
      </c>
      <c r="F974" s="108">
        <f t="shared" si="393"/>
        <v>973</v>
      </c>
      <c r="G974" s="105" t="s">
        <v>44</v>
      </c>
      <c r="H974" s="105"/>
      <c r="I974" s="104">
        <v>18</v>
      </c>
      <c r="J974" s="104" t="str">
        <f>J971</f>
        <v>1560 mm id</v>
      </c>
      <c r="K974" s="118">
        <v>1</v>
      </c>
      <c r="L974" s="118" t="s">
        <v>81</v>
      </c>
      <c r="M974" s="128">
        <f t="shared" si="394"/>
        <v>4.9015199999999997</v>
      </c>
      <c r="N974" s="104" t="s">
        <v>139</v>
      </c>
      <c r="O974" s="120">
        <v>1</v>
      </c>
      <c r="P974" s="104" t="s">
        <v>112</v>
      </c>
      <c r="Q974" s="150">
        <f t="shared" si="395"/>
        <v>4.9015199999999997</v>
      </c>
      <c r="R974" s="148">
        <v>1</v>
      </c>
      <c r="S974" s="150">
        <f t="shared" si="396"/>
        <v>5.9015199999999997</v>
      </c>
      <c r="T974" s="166" t="s">
        <v>48</v>
      </c>
    </row>
    <row r="975" spans="3:20" ht="20.25" customHeight="1">
      <c r="C975" s="96">
        <f>D975</f>
        <v>975</v>
      </c>
      <c r="D975" s="102">
        <f t="shared" si="387"/>
        <v>975</v>
      </c>
      <c r="E975" s="103" t="s">
        <v>354</v>
      </c>
      <c r="F975" s="108">
        <f>D972</f>
        <v>972</v>
      </c>
      <c r="G975" s="105"/>
      <c r="H975" s="105"/>
      <c r="I975" s="104"/>
      <c r="J975" s="104"/>
      <c r="K975" s="118"/>
      <c r="L975" s="118"/>
      <c r="M975" s="119"/>
      <c r="N975" s="104"/>
      <c r="O975" s="120"/>
      <c r="P975" s="104"/>
      <c r="Q975" s="150"/>
      <c r="R975" s="148"/>
      <c r="S975" s="150"/>
      <c r="T975" s="149"/>
    </row>
    <row r="976" spans="3:20" ht="20.25" customHeight="1">
      <c r="C976" s="96"/>
      <c r="D976" s="102">
        <f t="shared" si="387"/>
        <v>976</v>
      </c>
      <c r="E976" s="106" t="s">
        <v>323</v>
      </c>
      <c r="F976" s="108">
        <f t="shared" ref="F976:F980" si="397">D975</f>
        <v>975</v>
      </c>
      <c r="G976" s="105" t="s">
        <v>44</v>
      </c>
      <c r="H976" s="105"/>
      <c r="I976" s="104">
        <v>12</v>
      </c>
      <c r="J976" s="104" t="str">
        <f>J974</f>
        <v>1560 mm id</v>
      </c>
      <c r="K976" s="118">
        <v>1</v>
      </c>
      <c r="L976" s="118" t="s">
        <v>81</v>
      </c>
      <c r="M976" s="119">
        <v>1</v>
      </c>
      <c r="N976" s="104" t="s">
        <v>139</v>
      </c>
      <c r="O976" s="120">
        <v>1</v>
      </c>
      <c r="P976" s="104" t="s">
        <v>112</v>
      </c>
      <c r="Q976" s="150">
        <f t="shared" ref="Q976:Q980" si="398">M976*O976</f>
        <v>1</v>
      </c>
      <c r="R976" s="148">
        <v>1</v>
      </c>
      <c r="S976" s="150">
        <f t="shared" ref="S976:S980" si="399">Q976+R976</f>
        <v>2</v>
      </c>
      <c r="T976" s="166" t="s">
        <v>48</v>
      </c>
    </row>
    <row r="977" spans="3:20" ht="20.25" customHeight="1">
      <c r="C977" s="96"/>
      <c r="D977" s="102">
        <f t="shared" si="387"/>
        <v>977</v>
      </c>
      <c r="E977" s="106" t="s">
        <v>355</v>
      </c>
      <c r="F977" s="108">
        <f t="shared" si="397"/>
        <v>976</v>
      </c>
      <c r="G977" s="105" t="s">
        <v>115</v>
      </c>
      <c r="H977" s="105"/>
      <c r="I977" s="104">
        <v>12</v>
      </c>
      <c r="J977" s="104" t="str">
        <f>J976</f>
        <v>1560 mm id</v>
      </c>
      <c r="K977" s="118">
        <v>1</v>
      </c>
      <c r="L977" s="118" t="s">
        <v>81</v>
      </c>
      <c r="M977" s="128">
        <f t="shared" ref="M977:M980" si="400">LEFT(J977,SEARCH(" ",J977,1)-1)*3.142*K977*0.001</f>
        <v>4.9015199999999997</v>
      </c>
      <c r="N977" s="104" t="s">
        <v>139</v>
      </c>
      <c r="O977" s="162">
        <f>VLOOKUP(I977,BM!$B$3:$Y$62,17,FALSE)</f>
        <v>2.5</v>
      </c>
      <c r="P977" s="104" t="s">
        <v>112</v>
      </c>
      <c r="Q977" s="150">
        <f t="shared" si="398"/>
        <v>12.253799999999998</v>
      </c>
      <c r="R977" s="148">
        <v>1</v>
      </c>
      <c r="S977" s="150">
        <f t="shared" si="399"/>
        <v>13.253799999999998</v>
      </c>
      <c r="T977" s="166" t="s">
        <v>48</v>
      </c>
    </row>
    <row r="978" spans="3:20" ht="20.25" customHeight="1">
      <c r="C978" s="96"/>
      <c r="D978" s="102">
        <f t="shared" si="387"/>
        <v>978</v>
      </c>
      <c r="E978" s="106" t="s">
        <v>356</v>
      </c>
      <c r="F978" s="108">
        <f t="shared" si="397"/>
        <v>977</v>
      </c>
      <c r="G978" s="105" t="s">
        <v>61</v>
      </c>
      <c r="H978" s="105"/>
      <c r="I978" s="104">
        <v>18</v>
      </c>
      <c r="J978" s="104" t="str">
        <f>J977</f>
        <v>1560 mm id</v>
      </c>
      <c r="K978" s="118">
        <v>1</v>
      </c>
      <c r="L978" s="118" t="s">
        <v>81</v>
      </c>
      <c r="M978" s="128">
        <f t="shared" si="400"/>
        <v>4.9015199999999997</v>
      </c>
      <c r="N978" s="104" t="s">
        <v>139</v>
      </c>
      <c r="O978" s="162">
        <f>VLOOKUP(I978,BM!$B$3:$Y$62,18,FALSE)</f>
        <v>1</v>
      </c>
      <c r="P978" s="104" t="s">
        <v>112</v>
      </c>
      <c r="Q978" s="150">
        <f t="shared" si="398"/>
        <v>4.9015199999999997</v>
      </c>
      <c r="R978" s="148">
        <v>1</v>
      </c>
      <c r="S978" s="150">
        <f t="shared" si="399"/>
        <v>5.9015199999999997</v>
      </c>
      <c r="T978" s="166" t="s">
        <v>48</v>
      </c>
    </row>
    <row r="979" spans="3:20" ht="20.25" customHeight="1">
      <c r="C979" s="96"/>
      <c r="D979" s="102">
        <f t="shared" si="387"/>
        <v>979</v>
      </c>
      <c r="E979" s="106" t="s">
        <v>357</v>
      </c>
      <c r="F979" s="108">
        <f t="shared" si="397"/>
        <v>978</v>
      </c>
      <c r="G979" s="105" t="s">
        <v>115</v>
      </c>
      <c r="H979" s="105"/>
      <c r="I979" s="104">
        <v>6</v>
      </c>
      <c r="J979" s="104" t="str">
        <f>J978</f>
        <v>1560 mm id</v>
      </c>
      <c r="K979" s="118">
        <v>1</v>
      </c>
      <c r="L979" s="118" t="s">
        <v>81</v>
      </c>
      <c r="M979" s="128">
        <f t="shared" si="400"/>
        <v>4.9015199999999997</v>
      </c>
      <c r="N979" s="104" t="s">
        <v>139</v>
      </c>
      <c r="O979" s="162">
        <f>VLOOKUP(I979,BM!$B$3:$Y$62,17,FALSE)</f>
        <v>0.9</v>
      </c>
      <c r="P979" s="104" t="s">
        <v>112</v>
      </c>
      <c r="Q979" s="150">
        <f t="shared" si="398"/>
        <v>4.4113679999999995</v>
      </c>
      <c r="R979" s="148">
        <v>1</v>
      </c>
      <c r="S979" s="150">
        <f t="shared" si="399"/>
        <v>5.4113679999999995</v>
      </c>
      <c r="T979" s="166" t="s">
        <v>48</v>
      </c>
    </row>
    <row r="980" spans="3:20" ht="20.25" customHeight="1">
      <c r="C980" s="96"/>
      <c r="D980" s="102">
        <f t="shared" si="387"/>
        <v>980</v>
      </c>
      <c r="E980" s="106" t="s">
        <v>358</v>
      </c>
      <c r="F980" s="108">
        <f t="shared" si="397"/>
        <v>979</v>
      </c>
      <c r="G980" s="105" t="s">
        <v>61</v>
      </c>
      <c r="H980" s="105"/>
      <c r="I980" s="104">
        <v>18</v>
      </c>
      <c r="J980" s="104" t="str">
        <f>J979</f>
        <v>1560 mm id</v>
      </c>
      <c r="K980" s="118">
        <v>1</v>
      </c>
      <c r="L980" s="118" t="s">
        <v>81</v>
      </c>
      <c r="M980" s="128">
        <f t="shared" si="400"/>
        <v>4.9015199999999997</v>
      </c>
      <c r="N980" s="104" t="s">
        <v>139</v>
      </c>
      <c r="O980" s="162">
        <f>VLOOKUP(I980,BM!$B$3:$Y$62,20,FALSE)</f>
        <v>0.5</v>
      </c>
      <c r="P980" s="104" t="s">
        <v>112</v>
      </c>
      <c r="Q980" s="150">
        <f t="shared" si="398"/>
        <v>2.4507599999999998</v>
      </c>
      <c r="R980" s="148">
        <v>1</v>
      </c>
      <c r="S980" s="150">
        <f t="shared" si="399"/>
        <v>3.4507599999999998</v>
      </c>
      <c r="T980" s="166" t="s">
        <v>48</v>
      </c>
    </row>
    <row r="981" spans="3:20" ht="20.25" customHeight="1">
      <c r="C981" s="96">
        <f>D981</f>
        <v>981</v>
      </c>
      <c r="D981" s="102">
        <f t="shared" si="387"/>
        <v>981</v>
      </c>
      <c r="E981" s="103" t="s">
        <v>359</v>
      </c>
      <c r="F981" s="108">
        <f>D975</f>
        <v>975</v>
      </c>
      <c r="G981" s="105"/>
      <c r="H981" s="105"/>
      <c r="I981" s="104"/>
      <c r="J981" s="104"/>
      <c r="K981" s="118"/>
      <c r="L981" s="118"/>
      <c r="M981" s="119"/>
      <c r="N981" s="104"/>
      <c r="O981" s="120"/>
      <c r="P981" s="104"/>
      <c r="Q981" s="150"/>
      <c r="R981" s="148"/>
      <c r="S981" s="150"/>
      <c r="T981" s="149"/>
    </row>
    <row r="982" spans="3:20" ht="20.25" customHeight="1">
      <c r="C982" s="96"/>
      <c r="D982" s="102">
        <f t="shared" si="387"/>
        <v>982</v>
      </c>
      <c r="E982" s="106" t="s">
        <v>360</v>
      </c>
      <c r="F982" s="108">
        <f t="shared" ref="F982:F983" si="401">D981</f>
        <v>981</v>
      </c>
      <c r="G982" s="105" t="s">
        <v>299</v>
      </c>
      <c r="H982" s="105"/>
      <c r="I982" s="104">
        <v>18</v>
      </c>
      <c r="J982" s="104" t="str">
        <f>J980</f>
        <v>1560 mm id</v>
      </c>
      <c r="K982" s="118">
        <v>1</v>
      </c>
      <c r="L982" s="118" t="s">
        <v>81</v>
      </c>
      <c r="M982" s="128">
        <f t="shared" ref="M982:M983" si="402">LEFT(J982,SEARCH(" ",J982,1)-1)*3.142*K982*0.001</f>
        <v>4.9015199999999997</v>
      </c>
      <c r="N982" s="104" t="s">
        <v>139</v>
      </c>
      <c r="O982" s="162">
        <f>VLOOKUP(I982,BM!$B$3:$Y$62,10,FALSE)</f>
        <v>1</v>
      </c>
      <c r="P982" s="104" t="s">
        <v>112</v>
      </c>
      <c r="Q982" s="150">
        <f t="shared" ref="Q982:Q983" si="403">M982*O982</f>
        <v>4.9015199999999997</v>
      </c>
      <c r="R982" s="148">
        <v>1</v>
      </c>
      <c r="S982" s="150">
        <f t="shared" ref="S982:S983" si="404">Q982+R982</f>
        <v>5.9015199999999997</v>
      </c>
      <c r="T982" s="152" t="s">
        <v>48</v>
      </c>
    </row>
    <row r="983" spans="3:20" ht="20.25" customHeight="1">
      <c r="C983" s="96"/>
      <c r="D983" s="102">
        <f t="shared" si="387"/>
        <v>983</v>
      </c>
      <c r="E983" s="106" t="s">
        <v>361</v>
      </c>
      <c r="F983" s="108">
        <f t="shared" si="401"/>
        <v>982</v>
      </c>
      <c r="G983" s="105" t="s">
        <v>44</v>
      </c>
      <c r="H983" s="105"/>
      <c r="I983" s="104">
        <v>18</v>
      </c>
      <c r="J983" s="104" t="str">
        <f>J982</f>
        <v>1560 mm id</v>
      </c>
      <c r="K983" s="118">
        <v>1</v>
      </c>
      <c r="L983" s="118" t="s">
        <v>81</v>
      </c>
      <c r="M983" s="128">
        <f t="shared" si="402"/>
        <v>4.9015199999999997</v>
      </c>
      <c r="N983" s="104" t="s">
        <v>139</v>
      </c>
      <c r="O983" s="120">
        <v>1</v>
      </c>
      <c r="P983" s="104" t="s">
        <v>112</v>
      </c>
      <c r="Q983" s="150">
        <f t="shared" si="403"/>
        <v>4.9015199999999997</v>
      </c>
      <c r="R983" s="148">
        <v>1</v>
      </c>
      <c r="S983" s="150">
        <f t="shared" si="404"/>
        <v>5.9015199999999997</v>
      </c>
      <c r="T983" s="152" t="s">
        <v>48</v>
      </c>
    </row>
    <row r="984" spans="3:20" ht="20.25" customHeight="1">
      <c r="C984" s="96">
        <f>D984</f>
        <v>984</v>
      </c>
      <c r="D984" s="102">
        <f t="shared" si="387"/>
        <v>984</v>
      </c>
      <c r="E984" s="103" t="s">
        <v>362</v>
      </c>
      <c r="F984" s="108">
        <f>D981</f>
        <v>981</v>
      </c>
      <c r="G984" s="105"/>
      <c r="H984" s="105"/>
      <c r="I984" s="104"/>
      <c r="J984" s="104"/>
      <c r="K984" s="118"/>
      <c r="L984" s="118"/>
      <c r="M984" s="119"/>
      <c r="N984" s="104"/>
      <c r="O984" s="120"/>
      <c r="P984" s="104"/>
      <c r="Q984" s="150"/>
      <c r="R984" s="148"/>
      <c r="S984" s="150"/>
      <c r="T984" s="149"/>
    </row>
    <row r="985" spans="3:20" ht="20.25" customHeight="1">
      <c r="C985" s="96"/>
      <c r="D985" s="102">
        <f t="shared" si="387"/>
        <v>985</v>
      </c>
      <c r="E985" s="106" t="s">
        <v>363</v>
      </c>
      <c r="F985" s="108">
        <f t="shared" ref="F985:F989" si="405">D984</f>
        <v>984</v>
      </c>
      <c r="G985" s="105" t="s">
        <v>44</v>
      </c>
      <c r="H985" s="105"/>
      <c r="I985" s="104">
        <v>12</v>
      </c>
      <c r="J985" s="104" t="str">
        <f>J983</f>
        <v>1560 mm id</v>
      </c>
      <c r="K985" s="118">
        <v>1</v>
      </c>
      <c r="L985" s="118" t="s">
        <v>81</v>
      </c>
      <c r="M985" s="119">
        <v>1</v>
      </c>
      <c r="N985" s="104" t="s">
        <v>249</v>
      </c>
      <c r="O985" s="120">
        <v>1</v>
      </c>
      <c r="P985" s="104" t="s">
        <v>112</v>
      </c>
      <c r="Q985" s="150">
        <f t="shared" ref="Q985:Q989" si="406">M985*O985</f>
        <v>1</v>
      </c>
      <c r="R985" s="148">
        <v>1</v>
      </c>
      <c r="S985" s="150">
        <f t="shared" ref="S985:S989" si="407">Q985+R985</f>
        <v>2</v>
      </c>
      <c r="T985" s="152" t="s">
        <v>48</v>
      </c>
    </row>
    <row r="986" spans="3:20" ht="20.25" customHeight="1">
      <c r="C986" s="96"/>
      <c r="D986" s="102">
        <f t="shared" si="387"/>
        <v>986</v>
      </c>
      <c r="E986" s="106" t="s">
        <v>364</v>
      </c>
      <c r="F986" s="108">
        <f t="shared" si="405"/>
        <v>985</v>
      </c>
      <c r="G986" s="105" t="s">
        <v>115</v>
      </c>
      <c r="H986" s="105"/>
      <c r="I986" s="104">
        <v>12</v>
      </c>
      <c r="J986" s="104" t="str">
        <f>J985</f>
        <v>1560 mm id</v>
      </c>
      <c r="K986" s="118">
        <v>1</v>
      </c>
      <c r="L986" s="118" t="s">
        <v>81</v>
      </c>
      <c r="M986" s="128">
        <f t="shared" ref="M986:M989" si="408">LEFT(J986,SEARCH(" ",J986,1)-1)*3.142*K986*0.001</f>
        <v>4.9015199999999997</v>
      </c>
      <c r="N986" s="104" t="s">
        <v>249</v>
      </c>
      <c r="O986" s="162">
        <f>VLOOKUP(I986,BM!$B$3:$Y$62,17,FALSE)</f>
        <v>2.5</v>
      </c>
      <c r="P986" s="104" t="s">
        <v>112</v>
      </c>
      <c r="Q986" s="150">
        <f t="shared" si="406"/>
        <v>12.253799999999998</v>
      </c>
      <c r="R986" s="148">
        <v>1</v>
      </c>
      <c r="S986" s="150">
        <f t="shared" si="407"/>
        <v>13.253799999999998</v>
      </c>
      <c r="T986" s="152" t="s">
        <v>48</v>
      </c>
    </row>
    <row r="987" spans="3:20" ht="20.25" customHeight="1">
      <c r="C987" s="96"/>
      <c r="D987" s="102">
        <f t="shared" si="387"/>
        <v>987</v>
      </c>
      <c r="E987" s="106" t="s">
        <v>365</v>
      </c>
      <c r="F987" s="108">
        <f t="shared" si="405"/>
        <v>986</v>
      </c>
      <c r="G987" s="105" t="s">
        <v>61</v>
      </c>
      <c r="H987" s="105"/>
      <c r="I987" s="104">
        <v>18</v>
      </c>
      <c r="J987" s="104" t="str">
        <f>J986</f>
        <v>1560 mm id</v>
      </c>
      <c r="K987" s="118">
        <v>1</v>
      </c>
      <c r="L987" s="118" t="s">
        <v>81</v>
      </c>
      <c r="M987" s="128">
        <f t="shared" si="408"/>
        <v>4.9015199999999997</v>
      </c>
      <c r="N987" s="104" t="s">
        <v>249</v>
      </c>
      <c r="O987" s="162">
        <f>VLOOKUP(I987,BM!$B$3:$Y$62,18,FALSE)</f>
        <v>1</v>
      </c>
      <c r="P987" s="104" t="s">
        <v>112</v>
      </c>
      <c r="Q987" s="150">
        <f t="shared" si="406"/>
        <v>4.9015199999999997</v>
      </c>
      <c r="R987" s="148">
        <v>1</v>
      </c>
      <c r="S987" s="150">
        <f t="shared" si="407"/>
        <v>5.9015199999999997</v>
      </c>
      <c r="T987" s="152" t="s">
        <v>48</v>
      </c>
    </row>
    <row r="988" spans="3:20" ht="20.25" customHeight="1">
      <c r="C988" s="96"/>
      <c r="D988" s="102">
        <f t="shared" si="387"/>
        <v>988</v>
      </c>
      <c r="E988" s="106" t="s">
        <v>366</v>
      </c>
      <c r="F988" s="108">
        <f t="shared" si="405"/>
        <v>987</v>
      </c>
      <c r="G988" s="105" t="s">
        <v>115</v>
      </c>
      <c r="H988" s="105"/>
      <c r="I988" s="104">
        <v>6</v>
      </c>
      <c r="J988" s="104" t="str">
        <f>J987</f>
        <v>1560 mm id</v>
      </c>
      <c r="K988" s="118">
        <v>1</v>
      </c>
      <c r="L988" s="118" t="s">
        <v>81</v>
      </c>
      <c r="M988" s="128">
        <f t="shared" si="408"/>
        <v>4.9015199999999997</v>
      </c>
      <c r="N988" s="104" t="s">
        <v>249</v>
      </c>
      <c r="O988" s="162">
        <f>VLOOKUP(I988,BM!$B$3:$Y$62,17,FALSE)</f>
        <v>0.9</v>
      </c>
      <c r="P988" s="104" t="s">
        <v>112</v>
      </c>
      <c r="Q988" s="150">
        <f t="shared" si="406"/>
        <v>4.4113679999999995</v>
      </c>
      <c r="R988" s="148">
        <v>1</v>
      </c>
      <c r="S988" s="150">
        <f t="shared" si="407"/>
        <v>5.4113679999999995</v>
      </c>
      <c r="T988" s="152" t="s">
        <v>48</v>
      </c>
    </row>
    <row r="989" spans="3:20" ht="20.25" customHeight="1">
      <c r="C989" s="96"/>
      <c r="D989" s="102">
        <f t="shared" si="387"/>
        <v>989</v>
      </c>
      <c r="E989" s="106" t="s">
        <v>367</v>
      </c>
      <c r="F989" s="108">
        <f t="shared" si="405"/>
        <v>988</v>
      </c>
      <c r="G989" s="105" t="s">
        <v>61</v>
      </c>
      <c r="H989" s="105"/>
      <c r="I989" s="104">
        <v>18</v>
      </c>
      <c r="J989" s="104" t="str">
        <f>J988</f>
        <v>1560 mm id</v>
      </c>
      <c r="K989" s="118">
        <v>1</v>
      </c>
      <c r="L989" s="118" t="s">
        <v>81</v>
      </c>
      <c r="M989" s="128">
        <f t="shared" si="408"/>
        <v>4.9015199999999997</v>
      </c>
      <c r="N989" s="104" t="s">
        <v>249</v>
      </c>
      <c r="O989" s="162">
        <f>VLOOKUP(I989,BM!$B$3:$Y$62,20,FALSE)</f>
        <v>0.5</v>
      </c>
      <c r="P989" s="104" t="s">
        <v>112</v>
      </c>
      <c r="Q989" s="150">
        <f t="shared" si="406"/>
        <v>2.4507599999999998</v>
      </c>
      <c r="R989" s="148">
        <v>1</v>
      </c>
      <c r="S989" s="150">
        <f t="shared" si="407"/>
        <v>3.4507599999999998</v>
      </c>
      <c r="T989" s="152" t="s">
        <v>48</v>
      </c>
    </row>
    <row r="990" spans="3:20" ht="20.25" customHeight="1">
      <c r="C990" s="96">
        <f>D990</f>
        <v>990</v>
      </c>
      <c r="D990" s="102">
        <f t="shared" si="387"/>
        <v>990</v>
      </c>
      <c r="E990" s="103" t="s">
        <v>761</v>
      </c>
      <c r="F990" s="108">
        <f>D984</f>
        <v>984</v>
      </c>
      <c r="G990" s="105"/>
      <c r="H990" s="105"/>
      <c r="I990" s="104"/>
      <c r="J990" s="104"/>
      <c r="K990" s="118"/>
      <c r="L990" s="118"/>
      <c r="M990" s="119"/>
      <c r="N990" s="104"/>
      <c r="O990" s="120"/>
      <c r="P990" s="104"/>
      <c r="Q990" s="150"/>
      <c r="R990" s="148"/>
      <c r="S990" s="150"/>
      <c r="T990" s="149"/>
    </row>
    <row r="991" spans="3:20" ht="20.25" customHeight="1">
      <c r="C991" s="96"/>
      <c r="D991" s="102">
        <f t="shared" si="387"/>
        <v>991</v>
      </c>
      <c r="E991" s="106" t="s">
        <v>369</v>
      </c>
      <c r="F991" s="108">
        <f t="shared" ref="F991:F993" si="409">D990</f>
        <v>990</v>
      </c>
      <c r="G991" s="105" t="s">
        <v>348</v>
      </c>
      <c r="H991" s="105"/>
      <c r="I991" s="104">
        <v>18</v>
      </c>
      <c r="J991" s="104" t="str">
        <f>J989</f>
        <v>1560 mm id</v>
      </c>
      <c r="K991" s="118">
        <v>1</v>
      </c>
      <c r="L991" s="118" t="s">
        <v>81</v>
      </c>
      <c r="M991" s="119">
        <v>1</v>
      </c>
      <c r="N991" s="132" t="s">
        <v>81</v>
      </c>
      <c r="O991" s="120">
        <v>4</v>
      </c>
      <c r="P991" s="104" t="s">
        <v>112</v>
      </c>
      <c r="Q991" s="150">
        <f t="shared" ref="Q991:Q993" si="410">M991*O991</f>
        <v>4</v>
      </c>
      <c r="R991" s="148">
        <v>1</v>
      </c>
      <c r="S991" s="150">
        <f t="shared" ref="S991:S993" si="411">Q991+R991</f>
        <v>5</v>
      </c>
      <c r="T991" s="152" t="s">
        <v>48</v>
      </c>
    </row>
    <row r="992" spans="3:20" ht="20.25" customHeight="1">
      <c r="C992" s="96"/>
      <c r="D992" s="102">
        <f t="shared" si="387"/>
        <v>992</v>
      </c>
      <c r="E992" s="106" t="s">
        <v>370</v>
      </c>
      <c r="F992" s="108">
        <f t="shared" si="409"/>
        <v>991</v>
      </c>
      <c r="G992" s="105" t="s">
        <v>348</v>
      </c>
      <c r="H992" s="105"/>
      <c r="I992" s="104">
        <v>18</v>
      </c>
      <c r="J992" s="104" t="str">
        <f>J991</f>
        <v>1560 mm id</v>
      </c>
      <c r="K992" s="118">
        <v>1</v>
      </c>
      <c r="L992" s="118" t="s">
        <v>81</v>
      </c>
      <c r="M992" s="119">
        <v>1</v>
      </c>
      <c r="N992" s="104" t="s">
        <v>81</v>
      </c>
      <c r="O992" s="120">
        <v>4</v>
      </c>
      <c r="P992" s="104" t="s">
        <v>112</v>
      </c>
      <c r="Q992" s="150">
        <f t="shared" si="410"/>
        <v>4</v>
      </c>
      <c r="R992" s="148">
        <v>1</v>
      </c>
      <c r="S992" s="150">
        <f t="shared" si="411"/>
        <v>5</v>
      </c>
      <c r="T992" s="152" t="s">
        <v>48</v>
      </c>
    </row>
    <row r="993" spans="3:20" ht="20.25" customHeight="1">
      <c r="C993" s="96"/>
      <c r="D993" s="102">
        <f t="shared" si="387"/>
        <v>993</v>
      </c>
      <c r="E993" s="106" t="s">
        <v>370</v>
      </c>
      <c r="F993" s="108">
        <f t="shared" si="409"/>
        <v>992</v>
      </c>
      <c r="G993" s="105" t="s">
        <v>348</v>
      </c>
      <c r="H993" s="105"/>
      <c r="I993" s="104">
        <v>18</v>
      </c>
      <c r="J993" s="104" t="str">
        <f>J992</f>
        <v>1560 mm id</v>
      </c>
      <c r="K993" s="118">
        <v>1</v>
      </c>
      <c r="L993" s="118" t="s">
        <v>81</v>
      </c>
      <c r="M993" s="119">
        <v>1</v>
      </c>
      <c r="N993" s="104" t="s">
        <v>81</v>
      </c>
      <c r="O993" s="120">
        <v>4</v>
      </c>
      <c r="P993" s="104" t="s">
        <v>112</v>
      </c>
      <c r="Q993" s="150">
        <f t="shared" si="410"/>
        <v>4</v>
      </c>
      <c r="R993" s="148">
        <v>1</v>
      </c>
      <c r="S993" s="150">
        <f t="shared" si="411"/>
        <v>5</v>
      </c>
      <c r="T993" s="152" t="s">
        <v>48</v>
      </c>
    </row>
    <row r="994" spans="3:20" ht="20.25" customHeight="1">
      <c r="C994" s="96">
        <f>D994</f>
        <v>994</v>
      </c>
      <c r="D994" s="102">
        <f t="shared" si="387"/>
        <v>994</v>
      </c>
      <c r="E994" s="103" t="s">
        <v>762</v>
      </c>
      <c r="F994" s="108">
        <f>D990</f>
        <v>990</v>
      </c>
      <c r="G994" s="105"/>
      <c r="H994" s="105"/>
      <c r="I994" s="104"/>
      <c r="J994" s="104"/>
      <c r="K994" s="118"/>
      <c r="L994" s="118"/>
      <c r="M994" s="119"/>
      <c r="N994" s="104"/>
      <c r="O994" s="120"/>
      <c r="P994" s="104"/>
      <c r="Q994" s="150"/>
      <c r="R994" s="148"/>
      <c r="S994" s="150"/>
      <c r="T994" s="149"/>
    </row>
    <row r="995" spans="3:20" ht="20.25" customHeight="1">
      <c r="C995" s="96"/>
      <c r="D995" s="102">
        <f t="shared" si="387"/>
        <v>995</v>
      </c>
      <c r="E995" s="106" t="s">
        <v>372</v>
      </c>
      <c r="F995" s="108">
        <f t="shared" ref="F995:F996" si="412">D994</f>
        <v>994</v>
      </c>
      <c r="G995" s="105" t="s">
        <v>52</v>
      </c>
      <c r="H995" s="105"/>
      <c r="I995" s="160">
        <v>18</v>
      </c>
      <c r="J995" s="132" t="s">
        <v>373</v>
      </c>
      <c r="K995" s="118">
        <v>1</v>
      </c>
      <c r="L995" s="118" t="s">
        <v>39</v>
      </c>
      <c r="M995" s="128">
        <f t="shared" ref="M995:M996" si="413">LEFT(J995,SEARCH(" ",J995,1)-1)*3.142*K995*0.001</f>
        <v>3.0540240000000001</v>
      </c>
      <c r="N995" s="104" t="s">
        <v>249</v>
      </c>
      <c r="O995" s="162">
        <f>VLOOKUP(I995,BM!$B$3:$Y$62,2,FALSE)</f>
        <v>0.1</v>
      </c>
      <c r="P995" s="104" t="s">
        <v>112</v>
      </c>
      <c r="Q995" s="150">
        <f t="shared" ref="Q995:Q997" si="414">M995*O995</f>
        <v>0.30540240000000002</v>
      </c>
      <c r="R995" s="148">
        <v>1</v>
      </c>
      <c r="S995" s="150">
        <f t="shared" ref="S995:S997" si="415">Q995+R995</f>
        <v>1.3054024</v>
      </c>
      <c r="T995" s="152" t="s">
        <v>48</v>
      </c>
    </row>
    <row r="996" spans="3:20" ht="20.25" customHeight="1">
      <c r="C996" s="96"/>
      <c r="D996" s="102">
        <f t="shared" si="387"/>
        <v>996</v>
      </c>
      <c r="E996" s="106" t="s">
        <v>372</v>
      </c>
      <c r="F996" s="108">
        <f t="shared" si="412"/>
        <v>995</v>
      </c>
      <c r="G996" s="105" t="s">
        <v>52</v>
      </c>
      <c r="H996" s="105"/>
      <c r="I996" s="104">
        <v>18</v>
      </c>
      <c r="J996" s="104" t="str">
        <f>J995</f>
        <v>972 mm lip od</v>
      </c>
      <c r="K996" s="118">
        <v>1</v>
      </c>
      <c r="L996" s="118" t="s">
        <v>39</v>
      </c>
      <c r="M996" s="128">
        <f t="shared" si="413"/>
        <v>3.0540240000000001</v>
      </c>
      <c r="N996" s="104" t="s">
        <v>249</v>
      </c>
      <c r="O996" s="162">
        <f>VLOOKUP(I996,BM!$B$3:$Y$62,2,FALSE)</f>
        <v>0.1</v>
      </c>
      <c r="P996" s="104" t="s">
        <v>112</v>
      </c>
      <c r="Q996" s="150">
        <f t="shared" si="414"/>
        <v>0.30540240000000002</v>
      </c>
      <c r="R996" s="148">
        <v>1</v>
      </c>
      <c r="S996" s="150">
        <f t="shared" si="415"/>
        <v>1.3054024</v>
      </c>
      <c r="T996" s="152" t="s">
        <v>48</v>
      </c>
    </row>
    <row r="997" spans="3:20" ht="20.25" customHeight="1">
      <c r="C997" s="96">
        <f t="shared" ref="C997:C998" si="416">D997</f>
        <v>997</v>
      </c>
      <c r="D997" s="102">
        <f t="shared" si="387"/>
        <v>997</v>
      </c>
      <c r="E997" s="106" t="s">
        <v>109</v>
      </c>
      <c r="F997" s="108">
        <f>D994</f>
        <v>994</v>
      </c>
      <c r="G997" s="105" t="s">
        <v>52</v>
      </c>
      <c r="H997" s="105"/>
      <c r="I997" s="104"/>
      <c r="J997" s="104"/>
      <c r="K997" s="118">
        <v>2</v>
      </c>
      <c r="L997" s="118" t="s">
        <v>81</v>
      </c>
      <c r="M997" s="119">
        <v>2</v>
      </c>
      <c r="N997" s="104" t="s">
        <v>81</v>
      </c>
      <c r="O997" s="120">
        <v>0.5</v>
      </c>
      <c r="P997" s="104" t="s">
        <v>112</v>
      </c>
      <c r="Q997" s="150">
        <f t="shared" si="414"/>
        <v>1</v>
      </c>
      <c r="R997" s="148">
        <v>1</v>
      </c>
      <c r="S997" s="150">
        <f t="shared" si="415"/>
        <v>2</v>
      </c>
      <c r="T997" s="152" t="s">
        <v>48</v>
      </c>
    </row>
    <row r="998" spans="3:20" ht="20.25" customHeight="1">
      <c r="C998" s="96">
        <f t="shared" si="416"/>
        <v>998</v>
      </c>
      <c r="D998" s="102">
        <f t="shared" si="387"/>
        <v>998</v>
      </c>
      <c r="E998" s="103" t="s">
        <v>763</v>
      </c>
      <c r="F998" s="108">
        <f>D997</f>
        <v>997</v>
      </c>
      <c r="G998" s="105"/>
      <c r="H998" s="105"/>
      <c r="I998" s="104"/>
      <c r="J998" s="104"/>
      <c r="K998" s="118"/>
      <c r="L998" s="118"/>
      <c r="M998" s="119"/>
      <c r="N998" s="104"/>
      <c r="O998" s="120"/>
      <c r="P998" s="104"/>
      <c r="Q998" s="150"/>
      <c r="R998" s="148"/>
      <c r="S998" s="150"/>
      <c r="T998" s="149"/>
    </row>
    <row r="999" spans="3:20" ht="20.25" customHeight="1">
      <c r="C999" s="96"/>
      <c r="D999" s="102">
        <f t="shared" si="387"/>
        <v>999</v>
      </c>
      <c r="E999" s="106" t="s">
        <v>372</v>
      </c>
      <c r="F999" s="108">
        <f t="shared" ref="F999:F1001" si="417">D998</f>
        <v>998</v>
      </c>
      <c r="G999" s="105" t="s">
        <v>61</v>
      </c>
      <c r="H999" s="105"/>
      <c r="I999" s="104">
        <v>18</v>
      </c>
      <c r="J999" s="104" t="str">
        <f>J996</f>
        <v>972 mm lip od</v>
      </c>
      <c r="K999" s="118">
        <v>1</v>
      </c>
      <c r="L999" s="118" t="s">
        <v>39</v>
      </c>
      <c r="M999" s="128">
        <f t="shared" ref="M999:M1000" si="418">LEFT(J999,SEARCH(" ",J999,1)-1)*3.142*K999*0.001</f>
        <v>3.0540240000000001</v>
      </c>
      <c r="N999" s="104" t="s">
        <v>249</v>
      </c>
      <c r="O999" s="162">
        <f>VLOOKUP(I999,BM!$B$3:$Y$62,6,FALSE)</f>
        <v>1</v>
      </c>
      <c r="P999" s="104" t="s">
        <v>112</v>
      </c>
      <c r="Q999" s="150">
        <f t="shared" ref="Q999:Q1001" si="419">M999*O999</f>
        <v>3.0540240000000001</v>
      </c>
      <c r="R999" s="148">
        <v>1</v>
      </c>
      <c r="S999" s="150">
        <f t="shared" ref="S999:S1001" si="420">Q999+R999</f>
        <v>4.0540240000000001</v>
      </c>
      <c r="T999" s="152" t="s">
        <v>48</v>
      </c>
    </row>
    <row r="1000" spans="3:20" ht="20.25" customHeight="1">
      <c r="C1000" s="96"/>
      <c r="D1000" s="102">
        <f t="shared" si="387"/>
        <v>1000</v>
      </c>
      <c r="E1000" s="106" t="s">
        <v>372</v>
      </c>
      <c r="F1000" s="108">
        <f t="shared" si="417"/>
        <v>999</v>
      </c>
      <c r="G1000" s="105" t="s">
        <v>61</v>
      </c>
      <c r="H1000" s="105"/>
      <c r="I1000" s="104">
        <v>18</v>
      </c>
      <c r="J1000" s="104" t="str">
        <f>J999</f>
        <v>972 mm lip od</v>
      </c>
      <c r="K1000" s="118">
        <v>1</v>
      </c>
      <c r="L1000" s="118" t="s">
        <v>39</v>
      </c>
      <c r="M1000" s="128">
        <f t="shared" si="418"/>
        <v>3.0540240000000001</v>
      </c>
      <c r="N1000" s="104" t="s">
        <v>249</v>
      </c>
      <c r="O1000" s="162">
        <f>VLOOKUP(I1000,BM!$B$3:$Y$62,6,FALSE)</f>
        <v>1</v>
      </c>
      <c r="P1000" s="104" t="s">
        <v>112</v>
      </c>
      <c r="Q1000" s="150">
        <f t="shared" si="419"/>
        <v>3.0540240000000001</v>
      </c>
      <c r="R1000" s="148">
        <v>1</v>
      </c>
      <c r="S1000" s="150">
        <f t="shared" si="420"/>
        <v>4.0540240000000001</v>
      </c>
      <c r="T1000" s="152" t="s">
        <v>48</v>
      </c>
    </row>
    <row r="1001" spans="3:20" ht="20.25" customHeight="1">
      <c r="C1001" s="96"/>
      <c r="D1001" s="102">
        <f t="shared" si="387"/>
        <v>1001</v>
      </c>
      <c r="E1001" s="106" t="s">
        <v>109</v>
      </c>
      <c r="F1001" s="108">
        <f t="shared" si="417"/>
        <v>1000</v>
      </c>
      <c r="G1001" s="105"/>
      <c r="H1001" s="105"/>
      <c r="I1001" s="104"/>
      <c r="J1001" s="104"/>
      <c r="K1001" s="118">
        <v>1</v>
      </c>
      <c r="L1001" s="118" t="s">
        <v>39</v>
      </c>
      <c r="M1001" s="119">
        <v>2</v>
      </c>
      <c r="N1001" s="104" t="s">
        <v>81</v>
      </c>
      <c r="O1001" s="120">
        <v>0.5</v>
      </c>
      <c r="P1001" s="104" t="s">
        <v>112</v>
      </c>
      <c r="Q1001" s="150">
        <f t="shared" si="419"/>
        <v>1</v>
      </c>
      <c r="R1001" s="148">
        <v>1</v>
      </c>
      <c r="S1001" s="150">
        <f t="shared" si="420"/>
        <v>2</v>
      </c>
      <c r="T1001" s="152" t="s">
        <v>48</v>
      </c>
    </row>
    <row r="1002" spans="3:20" ht="20.25" customHeight="1">
      <c r="C1002" s="96">
        <f>D1002</f>
        <v>1002</v>
      </c>
      <c r="D1002" s="102">
        <f t="shared" si="387"/>
        <v>1002</v>
      </c>
      <c r="E1002" s="103" t="s">
        <v>375</v>
      </c>
      <c r="F1002" s="108">
        <f>D998</f>
        <v>998</v>
      </c>
      <c r="G1002" s="105"/>
      <c r="H1002" s="105"/>
      <c r="I1002" s="104"/>
      <c r="J1002" s="104"/>
      <c r="K1002" s="118"/>
      <c r="L1002" s="118"/>
      <c r="M1002" s="119"/>
      <c r="N1002" s="104"/>
      <c r="O1002" s="120"/>
      <c r="P1002" s="104"/>
      <c r="Q1002" s="150"/>
      <c r="R1002" s="148"/>
      <c r="S1002" s="150"/>
      <c r="T1002" s="149"/>
    </row>
    <row r="1003" spans="3:20" ht="20.25" customHeight="1">
      <c r="C1003" s="96"/>
      <c r="D1003" s="102">
        <f t="shared" si="387"/>
        <v>1003</v>
      </c>
      <c r="E1003" s="106" t="s">
        <v>372</v>
      </c>
      <c r="F1003" s="108">
        <f t="shared" ref="F1003:F1005" si="421">D1002</f>
        <v>1002</v>
      </c>
      <c r="G1003" s="105" t="s">
        <v>299</v>
      </c>
      <c r="H1003" s="105"/>
      <c r="I1003" s="104"/>
      <c r="J1003" s="132" t="s">
        <v>376</v>
      </c>
      <c r="K1003" s="118">
        <v>1</v>
      </c>
      <c r="L1003" s="118" t="s">
        <v>39</v>
      </c>
      <c r="M1003" s="119">
        <v>1</v>
      </c>
      <c r="N1003" s="104" t="s">
        <v>249</v>
      </c>
      <c r="O1003" s="162" t="e">
        <f>VLOOKUP(J1003,BM!$B$3:$Y$62,11,FALSE)</f>
        <v>#N/A</v>
      </c>
      <c r="P1003" s="104" t="s">
        <v>112</v>
      </c>
      <c r="Q1003" s="150" t="e">
        <f t="shared" ref="Q1003:Q1005" si="422">M1003*O1003</f>
        <v>#N/A</v>
      </c>
      <c r="R1003" s="148">
        <v>1</v>
      </c>
      <c r="S1003" s="150" t="e">
        <f t="shared" ref="S1003:S1005" si="423">Q1003+R1003</f>
        <v>#N/A</v>
      </c>
      <c r="T1003" s="152" t="s">
        <v>48</v>
      </c>
    </row>
    <row r="1004" spans="3:20" ht="20.25" customHeight="1">
      <c r="C1004" s="96"/>
      <c r="D1004" s="102">
        <f t="shared" si="387"/>
        <v>1004</v>
      </c>
      <c r="E1004" s="106" t="s">
        <v>372</v>
      </c>
      <c r="F1004" s="108">
        <f t="shared" si="421"/>
        <v>1003</v>
      </c>
      <c r="G1004" s="105" t="s">
        <v>299</v>
      </c>
      <c r="H1004" s="105"/>
      <c r="I1004" s="104"/>
      <c r="J1004" s="132" t="s">
        <v>376</v>
      </c>
      <c r="K1004" s="118">
        <v>1</v>
      </c>
      <c r="L1004" s="118" t="s">
        <v>39</v>
      </c>
      <c r="M1004" s="119">
        <v>1</v>
      </c>
      <c r="N1004" s="104" t="s">
        <v>249</v>
      </c>
      <c r="O1004" s="162" t="e">
        <f>VLOOKUP(J1004,BM!$B$3:$Y$62,11,FALSE)</f>
        <v>#N/A</v>
      </c>
      <c r="P1004" s="104" t="s">
        <v>112</v>
      </c>
      <c r="Q1004" s="150" t="e">
        <f t="shared" si="422"/>
        <v>#N/A</v>
      </c>
      <c r="R1004" s="148">
        <v>1</v>
      </c>
      <c r="S1004" s="150" t="e">
        <f t="shared" si="423"/>
        <v>#N/A</v>
      </c>
      <c r="T1004" s="152" t="s">
        <v>48</v>
      </c>
    </row>
    <row r="1005" spans="3:20" ht="20.25" customHeight="1">
      <c r="C1005" s="96"/>
      <c r="D1005" s="102">
        <f t="shared" si="387"/>
        <v>1005</v>
      </c>
      <c r="E1005" s="106" t="s">
        <v>377</v>
      </c>
      <c r="F1005" s="108">
        <f t="shared" si="421"/>
        <v>1004</v>
      </c>
      <c r="G1005" s="105"/>
      <c r="H1005" s="105"/>
      <c r="I1005" s="104"/>
      <c r="J1005" s="104"/>
      <c r="K1005" s="118">
        <v>2</v>
      </c>
      <c r="L1005" s="118" t="s">
        <v>39</v>
      </c>
      <c r="M1005" s="119">
        <v>1</v>
      </c>
      <c r="N1005" s="104" t="s">
        <v>81</v>
      </c>
      <c r="O1005" s="120">
        <v>1</v>
      </c>
      <c r="P1005" s="104" t="s">
        <v>112</v>
      </c>
      <c r="Q1005" s="150">
        <f t="shared" si="422"/>
        <v>1</v>
      </c>
      <c r="R1005" s="148">
        <v>1</v>
      </c>
      <c r="S1005" s="150">
        <f t="shared" si="423"/>
        <v>2</v>
      </c>
      <c r="T1005" s="152" t="s">
        <v>48</v>
      </c>
    </row>
    <row r="1006" spans="3:20" ht="20.25" customHeight="1">
      <c r="C1006" s="96">
        <f>D1006</f>
        <v>1006</v>
      </c>
      <c r="D1006" s="102">
        <f t="shared" si="387"/>
        <v>1006</v>
      </c>
      <c r="E1006" s="103" t="s">
        <v>764</v>
      </c>
      <c r="F1006" s="108">
        <f>D1002</f>
        <v>1002</v>
      </c>
      <c r="G1006" s="105"/>
      <c r="H1006" s="105"/>
      <c r="I1006" s="104"/>
      <c r="J1006" s="104"/>
      <c r="K1006" s="118"/>
      <c r="L1006" s="118"/>
      <c r="M1006" s="119"/>
      <c r="N1006" s="104"/>
      <c r="O1006" s="120"/>
      <c r="P1006" s="104"/>
      <c r="Q1006" s="150"/>
      <c r="R1006" s="148"/>
      <c r="S1006" s="150"/>
      <c r="T1006" s="149"/>
    </row>
    <row r="1007" spans="3:20" ht="20.25" customHeight="1">
      <c r="C1007" s="96"/>
      <c r="D1007" s="102">
        <f t="shared" si="387"/>
        <v>1007</v>
      </c>
      <c r="E1007" s="106" t="s">
        <v>372</v>
      </c>
      <c r="F1007" s="108">
        <f t="shared" ref="F1007:F1009" si="424">D1006</f>
        <v>1006</v>
      </c>
      <c r="G1007" s="105" t="s">
        <v>44</v>
      </c>
      <c r="H1007" s="105"/>
      <c r="I1007" s="104"/>
      <c r="J1007" s="104" t="s">
        <v>376</v>
      </c>
      <c r="K1007" s="118">
        <v>1</v>
      </c>
      <c r="L1007" s="118" t="s">
        <v>39</v>
      </c>
      <c r="M1007" s="119">
        <v>1</v>
      </c>
      <c r="N1007" s="132" t="s">
        <v>48</v>
      </c>
      <c r="O1007" s="120">
        <v>1</v>
      </c>
      <c r="P1007" s="104" t="s">
        <v>112</v>
      </c>
      <c r="Q1007" s="150">
        <f t="shared" ref="Q1007:Q1009" si="425">M1007*O1007</f>
        <v>1</v>
      </c>
      <c r="R1007" s="148">
        <v>1</v>
      </c>
      <c r="S1007" s="150">
        <f t="shared" ref="S1007:S1009" si="426">Q1007+R1007</f>
        <v>2</v>
      </c>
      <c r="T1007" s="152" t="s">
        <v>48</v>
      </c>
    </row>
    <row r="1008" spans="3:20" ht="20.25" customHeight="1">
      <c r="C1008" s="96"/>
      <c r="D1008" s="102">
        <f t="shared" si="387"/>
        <v>1008</v>
      </c>
      <c r="E1008" s="106" t="s">
        <v>372</v>
      </c>
      <c r="F1008" s="108">
        <f t="shared" si="424"/>
        <v>1007</v>
      </c>
      <c r="G1008" s="105" t="s">
        <v>44</v>
      </c>
      <c r="H1008" s="105"/>
      <c r="I1008" s="104"/>
      <c r="J1008" s="104" t="s">
        <v>376</v>
      </c>
      <c r="K1008" s="118">
        <v>1</v>
      </c>
      <c r="L1008" s="118" t="s">
        <v>39</v>
      </c>
      <c r="M1008" s="119">
        <v>1</v>
      </c>
      <c r="N1008" s="132" t="s">
        <v>48</v>
      </c>
      <c r="O1008" s="120">
        <v>1</v>
      </c>
      <c r="P1008" s="104" t="s">
        <v>112</v>
      </c>
      <c r="Q1008" s="150">
        <f t="shared" si="425"/>
        <v>1</v>
      </c>
      <c r="R1008" s="148">
        <v>1</v>
      </c>
      <c r="S1008" s="150">
        <f t="shared" si="426"/>
        <v>2</v>
      </c>
      <c r="T1008" s="152" t="s">
        <v>48</v>
      </c>
    </row>
    <row r="1009" spans="3:22" ht="20.25" customHeight="1">
      <c r="C1009" s="96"/>
      <c r="D1009" s="102">
        <f t="shared" si="387"/>
        <v>1009</v>
      </c>
      <c r="E1009" s="106" t="s">
        <v>377</v>
      </c>
      <c r="F1009" s="108">
        <f t="shared" si="424"/>
        <v>1008</v>
      </c>
      <c r="G1009" s="105" t="s">
        <v>44</v>
      </c>
      <c r="H1009" s="105"/>
      <c r="I1009" s="104"/>
      <c r="J1009" s="104" t="s">
        <v>376</v>
      </c>
      <c r="K1009" s="118">
        <v>2</v>
      </c>
      <c r="L1009" s="118" t="s">
        <v>39</v>
      </c>
      <c r="M1009" s="119">
        <v>1</v>
      </c>
      <c r="N1009" s="132" t="s">
        <v>48</v>
      </c>
      <c r="O1009" s="120">
        <v>1</v>
      </c>
      <c r="P1009" s="104" t="s">
        <v>112</v>
      </c>
      <c r="Q1009" s="150">
        <f t="shared" si="425"/>
        <v>1</v>
      </c>
      <c r="R1009" s="148">
        <v>1</v>
      </c>
      <c r="S1009" s="150">
        <f t="shared" si="426"/>
        <v>2</v>
      </c>
      <c r="T1009" s="152" t="s">
        <v>48</v>
      </c>
    </row>
    <row r="1010" spans="3:22" ht="20.25" customHeight="1">
      <c r="C1010" s="96">
        <f>D1010</f>
        <v>1010</v>
      </c>
      <c r="D1010" s="102">
        <f t="shared" si="387"/>
        <v>1010</v>
      </c>
      <c r="E1010" s="103" t="s">
        <v>765</v>
      </c>
      <c r="F1010" s="108">
        <f>D1006</f>
        <v>1006</v>
      </c>
      <c r="G1010" s="105"/>
      <c r="H1010" s="105"/>
      <c r="I1010" s="104"/>
      <c r="J1010" s="104"/>
      <c r="K1010" s="118"/>
      <c r="L1010" s="118"/>
      <c r="M1010" s="119"/>
      <c r="N1010" s="104"/>
      <c r="O1010" s="120"/>
      <c r="P1010" s="104"/>
      <c r="Q1010" s="150"/>
      <c r="R1010" s="148"/>
      <c r="S1010" s="150"/>
      <c r="T1010" s="149"/>
    </row>
    <row r="1011" spans="3:22" ht="20.25" customHeight="1">
      <c r="C1011" s="96"/>
      <c r="D1011" s="102">
        <f t="shared" si="387"/>
        <v>1011</v>
      </c>
      <c r="E1011" s="106" t="s">
        <v>380</v>
      </c>
      <c r="F1011" s="108">
        <f t="shared" ref="F1011:F1018" si="427">D1010</f>
        <v>1010</v>
      </c>
      <c r="G1011" s="105" t="s">
        <v>37</v>
      </c>
      <c r="H1011" s="105"/>
      <c r="I1011" s="104"/>
      <c r="J1011" s="104"/>
      <c r="K1011" s="118">
        <v>1</v>
      </c>
      <c r="L1011" s="141" t="s">
        <v>39</v>
      </c>
      <c r="M1011" s="119">
        <v>1</v>
      </c>
      <c r="N1011" s="132" t="s">
        <v>81</v>
      </c>
      <c r="O1011" s="120">
        <v>1</v>
      </c>
      <c r="P1011" s="132" t="s">
        <v>162</v>
      </c>
      <c r="Q1011" s="150">
        <f t="shared" ref="Q1011:Q1018" si="428">M1011*O1011</f>
        <v>1</v>
      </c>
      <c r="R1011" s="148"/>
      <c r="S1011" s="150">
        <f t="shared" ref="S1011:S1018" si="429">Q1011+R1011</f>
        <v>1</v>
      </c>
      <c r="T1011" s="152" t="s">
        <v>48</v>
      </c>
    </row>
    <row r="1012" spans="3:22" ht="20.25" customHeight="1">
      <c r="C1012" s="96"/>
      <c r="D1012" s="102">
        <f t="shared" si="387"/>
        <v>1012</v>
      </c>
      <c r="E1012" s="106" t="s">
        <v>381</v>
      </c>
      <c r="F1012" s="108">
        <f t="shared" si="427"/>
        <v>1011</v>
      </c>
      <c r="G1012" s="105" t="s">
        <v>115</v>
      </c>
      <c r="H1012" s="105"/>
      <c r="I1012" s="104">
        <v>12</v>
      </c>
      <c r="J1012" s="104" t="str">
        <f>J1000</f>
        <v>972 mm lip od</v>
      </c>
      <c r="K1012" s="118">
        <v>1</v>
      </c>
      <c r="L1012" s="118" t="s">
        <v>39</v>
      </c>
      <c r="M1012" s="128">
        <f t="shared" ref="M1012:M1018" si="430">LEFT(J1012,SEARCH(" ",J1012,1)-1)*3.142*K1012*0.001</f>
        <v>3.0540240000000001</v>
      </c>
      <c r="N1012" s="104" t="s">
        <v>249</v>
      </c>
      <c r="O1012" s="162">
        <f>VLOOKUP(I1012,BM!$B$3:$Y$62,17,FALSE)</f>
        <v>2.5</v>
      </c>
      <c r="P1012" s="104" t="s">
        <v>112</v>
      </c>
      <c r="Q1012" s="150">
        <f t="shared" si="428"/>
        <v>7.6350600000000002</v>
      </c>
      <c r="R1012" s="148">
        <v>1</v>
      </c>
      <c r="S1012" s="150">
        <f t="shared" si="429"/>
        <v>8.6350599999999993</v>
      </c>
      <c r="T1012" s="152" t="s">
        <v>48</v>
      </c>
    </row>
    <row r="1013" spans="3:22" ht="20.25" customHeight="1">
      <c r="C1013" s="96"/>
      <c r="D1013" s="102">
        <f t="shared" si="387"/>
        <v>1013</v>
      </c>
      <c r="E1013" s="106" t="s">
        <v>382</v>
      </c>
      <c r="F1013" s="108">
        <f t="shared" si="427"/>
        <v>1012</v>
      </c>
      <c r="G1013" s="105" t="s">
        <v>115</v>
      </c>
      <c r="H1013" s="105"/>
      <c r="I1013" s="104">
        <v>12</v>
      </c>
      <c r="J1013" s="104" t="str">
        <f t="shared" ref="J1013:J1018" si="431">J1012</f>
        <v>972 mm lip od</v>
      </c>
      <c r="K1013" s="118">
        <v>1</v>
      </c>
      <c r="L1013" s="118" t="s">
        <v>39</v>
      </c>
      <c r="M1013" s="128">
        <f t="shared" si="430"/>
        <v>3.0540240000000001</v>
      </c>
      <c r="N1013" s="104" t="s">
        <v>249</v>
      </c>
      <c r="O1013" s="162">
        <f>VLOOKUP(I1013,BM!$B$3:$Y$62,17,FALSE)</f>
        <v>2.5</v>
      </c>
      <c r="P1013" s="104" t="s">
        <v>112</v>
      </c>
      <c r="Q1013" s="150">
        <f t="shared" si="428"/>
        <v>7.6350600000000002</v>
      </c>
      <c r="R1013" s="148">
        <v>1</v>
      </c>
      <c r="S1013" s="150">
        <f t="shared" si="429"/>
        <v>8.6350599999999993</v>
      </c>
      <c r="T1013" s="152" t="s">
        <v>48</v>
      </c>
    </row>
    <row r="1014" spans="3:22" ht="20.25" customHeight="1">
      <c r="C1014" s="96"/>
      <c r="D1014" s="102">
        <f t="shared" si="387"/>
        <v>1014</v>
      </c>
      <c r="E1014" s="106" t="s">
        <v>383</v>
      </c>
      <c r="F1014" s="108">
        <f t="shared" si="427"/>
        <v>1013</v>
      </c>
      <c r="G1014" s="105" t="s">
        <v>115</v>
      </c>
      <c r="H1014" s="105"/>
      <c r="I1014" s="104">
        <v>12</v>
      </c>
      <c r="J1014" s="104" t="str">
        <f t="shared" si="431"/>
        <v>972 mm lip od</v>
      </c>
      <c r="K1014" s="118">
        <v>1</v>
      </c>
      <c r="L1014" s="118" t="s">
        <v>39</v>
      </c>
      <c r="M1014" s="128">
        <f t="shared" si="430"/>
        <v>3.0540240000000001</v>
      </c>
      <c r="N1014" s="104" t="s">
        <v>249</v>
      </c>
      <c r="O1014" s="162">
        <f>VLOOKUP(I1014,BM!$B$3:$Y$62,17,FALSE)</f>
        <v>2.5</v>
      </c>
      <c r="P1014" s="104" t="s">
        <v>112</v>
      </c>
      <c r="Q1014" s="150">
        <f t="shared" si="428"/>
        <v>7.6350600000000002</v>
      </c>
      <c r="R1014" s="148">
        <v>1</v>
      </c>
      <c r="S1014" s="150">
        <f t="shared" si="429"/>
        <v>8.6350599999999993</v>
      </c>
      <c r="T1014" s="152" t="s">
        <v>48</v>
      </c>
    </row>
    <row r="1015" spans="3:22" ht="20.25" customHeight="1">
      <c r="C1015" s="96"/>
      <c r="D1015" s="102">
        <f t="shared" si="387"/>
        <v>1015</v>
      </c>
      <c r="E1015" s="106" t="s">
        <v>384</v>
      </c>
      <c r="F1015" s="108">
        <f t="shared" si="427"/>
        <v>1014</v>
      </c>
      <c r="G1015" s="105" t="s">
        <v>44</v>
      </c>
      <c r="H1015" s="105"/>
      <c r="I1015" s="104">
        <v>12</v>
      </c>
      <c r="J1015" s="104" t="str">
        <f t="shared" si="431"/>
        <v>972 mm lip od</v>
      </c>
      <c r="K1015" s="118">
        <v>2</v>
      </c>
      <c r="L1015" s="118" t="s">
        <v>39</v>
      </c>
      <c r="M1015" s="128">
        <f t="shared" si="430"/>
        <v>6.1080480000000001</v>
      </c>
      <c r="N1015" s="104" t="s">
        <v>249</v>
      </c>
      <c r="O1015" s="120">
        <v>1</v>
      </c>
      <c r="P1015" s="104" t="s">
        <v>112</v>
      </c>
      <c r="Q1015" s="150">
        <f t="shared" si="428"/>
        <v>6.1080480000000001</v>
      </c>
      <c r="R1015" s="148">
        <v>1</v>
      </c>
      <c r="S1015" s="150">
        <f t="shared" si="429"/>
        <v>7.1080480000000001</v>
      </c>
      <c r="T1015" s="152" t="s">
        <v>48</v>
      </c>
    </row>
    <row r="1016" spans="3:22" ht="20.25" customHeight="1">
      <c r="C1016" s="96"/>
      <c r="D1016" s="102">
        <f t="shared" si="387"/>
        <v>1016</v>
      </c>
      <c r="E1016" s="106" t="s">
        <v>385</v>
      </c>
      <c r="F1016" s="108">
        <f t="shared" si="427"/>
        <v>1015</v>
      </c>
      <c r="G1016" s="105" t="s">
        <v>386</v>
      </c>
      <c r="H1016" s="105"/>
      <c r="I1016" s="104">
        <v>8</v>
      </c>
      <c r="J1016" s="104" t="str">
        <f t="shared" si="431"/>
        <v>972 mm lip od</v>
      </c>
      <c r="K1016" s="118">
        <v>1</v>
      </c>
      <c r="L1016" s="118" t="s">
        <v>39</v>
      </c>
      <c r="M1016" s="128">
        <f t="shared" si="430"/>
        <v>3.0540240000000001</v>
      </c>
      <c r="N1016" s="104" t="s">
        <v>249</v>
      </c>
      <c r="O1016" s="162">
        <f>VLOOKUP(I1016,BM!$B$3:$Y$62,17,FALSE)</f>
        <v>1.36</v>
      </c>
      <c r="P1016" s="104" t="s">
        <v>112</v>
      </c>
      <c r="Q1016" s="150">
        <f t="shared" si="428"/>
        <v>4.1534726400000004</v>
      </c>
      <c r="R1016" s="148">
        <v>1</v>
      </c>
      <c r="S1016" s="150">
        <f t="shared" si="429"/>
        <v>5.1534726400000004</v>
      </c>
      <c r="T1016" s="152" t="s">
        <v>48</v>
      </c>
    </row>
    <row r="1017" spans="3:22" ht="20.25" customHeight="1">
      <c r="C1017" s="96"/>
      <c r="D1017" s="102">
        <f t="shared" si="387"/>
        <v>1017</v>
      </c>
      <c r="E1017" s="106" t="s">
        <v>387</v>
      </c>
      <c r="F1017" s="108">
        <f t="shared" si="427"/>
        <v>1016</v>
      </c>
      <c r="G1017" s="105" t="s">
        <v>386</v>
      </c>
      <c r="H1017" s="105"/>
      <c r="I1017" s="104">
        <v>8</v>
      </c>
      <c r="J1017" s="104" t="str">
        <f t="shared" si="431"/>
        <v>972 mm lip od</v>
      </c>
      <c r="K1017" s="118">
        <v>1</v>
      </c>
      <c r="L1017" s="118" t="s">
        <v>39</v>
      </c>
      <c r="M1017" s="128">
        <f t="shared" si="430"/>
        <v>3.0540240000000001</v>
      </c>
      <c r="N1017" s="104" t="s">
        <v>249</v>
      </c>
      <c r="O1017" s="162">
        <f>VLOOKUP(I1017,BM!$B$3:$Y$62,17,FALSE)</f>
        <v>1.36</v>
      </c>
      <c r="P1017" s="104" t="s">
        <v>112</v>
      </c>
      <c r="Q1017" s="150">
        <f t="shared" si="428"/>
        <v>4.1534726400000004</v>
      </c>
      <c r="R1017" s="148">
        <v>1</v>
      </c>
      <c r="S1017" s="150">
        <f t="shared" si="429"/>
        <v>5.1534726400000004</v>
      </c>
      <c r="T1017" s="152" t="s">
        <v>48</v>
      </c>
    </row>
    <row r="1018" spans="3:22" ht="20.25" customHeight="1">
      <c r="C1018" s="96"/>
      <c r="D1018" s="102">
        <f t="shared" si="387"/>
        <v>1018</v>
      </c>
      <c r="E1018" s="106" t="s">
        <v>388</v>
      </c>
      <c r="F1018" s="108">
        <f t="shared" si="427"/>
        <v>1017</v>
      </c>
      <c r="G1018" s="105" t="s">
        <v>386</v>
      </c>
      <c r="H1018" s="105"/>
      <c r="I1018" s="104">
        <v>8</v>
      </c>
      <c r="J1018" s="104" t="str">
        <f t="shared" si="431"/>
        <v>972 mm lip od</v>
      </c>
      <c r="K1018" s="118">
        <v>0</v>
      </c>
      <c r="L1018" s="118" t="s">
        <v>39</v>
      </c>
      <c r="M1018" s="128">
        <f t="shared" si="430"/>
        <v>0</v>
      </c>
      <c r="N1018" s="104" t="s">
        <v>249</v>
      </c>
      <c r="O1018" s="162">
        <f>VLOOKUP(I1018,BM!$B$3:$Y$62,17,FALSE)</f>
        <v>1.36</v>
      </c>
      <c r="P1018" s="104" t="s">
        <v>112</v>
      </c>
      <c r="Q1018" s="150">
        <f t="shared" si="428"/>
        <v>0</v>
      </c>
      <c r="R1018" s="148">
        <v>1</v>
      </c>
      <c r="S1018" s="150">
        <f t="shared" si="429"/>
        <v>1</v>
      </c>
      <c r="T1018" s="152" t="s">
        <v>48</v>
      </c>
    </row>
    <row r="1019" spans="3:22" ht="20.25" customHeight="1">
      <c r="C1019" s="96">
        <f>D1019</f>
        <v>1019</v>
      </c>
      <c r="D1019" s="102">
        <f t="shared" si="387"/>
        <v>1019</v>
      </c>
      <c r="E1019" s="103" t="s">
        <v>389</v>
      </c>
      <c r="F1019" s="108">
        <f>D1010</f>
        <v>1010</v>
      </c>
      <c r="G1019" s="105"/>
      <c r="H1019" s="105"/>
      <c r="I1019" s="104"/>
      <c r="J1019" s="104"/>
      <c r="K1019" s="118"/>
      <c r="L1019" s="118"/>
      <c r="M1019" s="119"/>
      <c r="N1019" s="104"/>
      <c r="O1019" s="120"/>
      <c r="P1019" s="104"/>
      <c r="Q1019" s="150"/>
      <c r="R1019" s="148"/>
      <c r="S1019" s="150"/>
      <c r="T1019" s="149"/>
    </row>
    <row r="1020" spans="3:22" ht="20.25" customHeight="1">
      <c r="C1020" s="96"/>
      <c r="D1020" s="102">
        <f t="shared" si="387"/>
        <v>1020</v>
      </c>
      <c r="E1020" s="106" t="s">
        <v>390</v>
      </c>
      <c r="F1020" s="108">
        <f t="shared" ref="F1020:F1025" si="432">D1019</f>
        <v>1019</v>
      </c>
      <c r="G1020" s="105" t="s">
        <v>111</v>
      </c>
      <c r="H1020" s="105"/>
      <c r="I1020" s="104">
        <v>25</v>
      </c>
      <c r="J1020" s="112" t="s">
        <v>391</v>
      </c>
      <c r="K1020" s="118">
        <v>2</v>
      </c>
      <c r="L1020" s="118" t="s">
        <v>39</v>
      </c>
      <c r="M1020" s="128">
        <f>LEFT(J1020,SEARCH(" ",J1020,1)-1)*3.142*K1020*2*0.001</f>
        <v>20.058527999999999</v>
      </c>
      <c r="N1020" s="104" t="s">
        <v>81</v>
      </c>
      <c r="O1020" s="120">
        <v>0.5</v>
      </c>
      <c r="P1020" s="104" t="s">
        <v>162</v>
      </c>
      <c r="Q1020" s="150">
        <f t="shared" ref="Q1020:Q1025" si="433">M1020*O1020</f>
        <v>10.029264</v>
      </c>
      <c r="R1020" s="148">
        <v>1</v>
      </c>
      <c r="S1020" s="150">
        <f t="shared" ref="S1020:S1025" si="434">Q1020+R1020</f>
        <v>11.029264</v>
      </c>
      <c r="T1020" s="152" t="s">
        <v>48</v>
      </c>
    </row>
    <row r="1021" spans="3:22" ht="20.25" customHeight="1">
      <c r="C1021" s="96"/>
      <c r="D1021" s="102">
        <f t="shared" si="387"/>
        <v>1021</v>
      </c>
      <c r="E1021" s="106" t="s">
        <v>392</v>
      </c>
      <c r="F1021" s="108">
        <f t="shared" si="432"/>
        <v>1020</v>
      </c>
      <c r="G1021" s="105" t="s">
        <v>156</v>
      </c>
      <c r="H1021" s="105"/>
      <c r="I1021" s="104">
        <v>12</v>
      </c>
      <c r="J1021" s="104" t="str">
        <f>J1020</f>
        <v>1596 mm od</v>
      </c>
      <c r="K1021" s="118">
        <v>2</v>
      </c>
      <c r="L1021" s="118" t="s">
        <v>249</v>
      </c>
      <c r="M1021" s="128">
        <f>LEFT(J1021,SEARCH(" ",J1021,1)-1)*3.142*K1021*2*0.001</f>
        <v>20.058527999999999</v>
      </c>
      <c r="N1021" s="104" t="s">
        <v>249</v>
      </c>
      <c r="O1021" s="162">
        <f>VLOOKUP(I1021,BM!$B$3:$Y$62,22,FALSE)</f>
        <v>1.6</v>
      </c>
      <c r="P1021" s="104" t="s">
        <v>162</v>
      </c>
      <c r="Q1021" s="150">
        <f t="shared" si="433"/>
        <v>32.0936448</v>
      </c>
      <c r="R1021" s="148">
        <v>1</v>
      </c>
      <c r="S1021" s="150">
        <f t="shared" si="434"/>
        <v>33.0936448</v>
      </c>
      <c r="T1021" s="152" t="s">
        <v>48</v>
      </c>
    </row>
    <row r="1022" spans="3:22" ht="20.25" customHeight="1">
      <c r="C1022" s="96"/>
      <c r="D1022" s="102">
        <f t="shared" si="387"/>
        <v>1022</v>
      </c>
      <c r="E1022" s="106" t="s">
        <v>393</v>
      </c>
      <c r="F1022" s="108">
        <f t="shared" si="432"/>
        <v>1021</v>
      </c>
      <c r="G1022" s="105" t="s">
        <v>394</v>
      </c>
      <c r="H1022" s="105"/>
      <c r="I1022" s="104"/>
      <c r="J1022" s="108" t="str">
        <f>J1021</f>
        <v>1596 mm od</v>
      </c>
      <c r="K1022" s="118">
        <v>2</v>
      </c>
      <c r="L1022" s="118" t="s">
        <v>81</v>
      </c>
      <c r="M1022" s="119">
        <f>K1022</f>
        <v>2</v>
      </c>
      <c r="N1022" s="104" t="s">
        <v>81</v>
      </c>
      <c r="O1022" s="120">
        <v>8</v>
      </c>
      <c r="P1022" s="104" t="s">
        <v>162</v>
      </c>
      <c r="Q1022" s="150">
        <f t="shared" si="433"/>
        <v>16</v>
      </c>
      <c r="R1022" s="148">
        <v>1</v>
      </c>
      <c r="S1022" s="150">
        <f t="shared" si="434"/>
        <v>17</v>
      </c>
      <c r="T1022" s="152" t="s">
        <v>48</v>
      </c>
    </row>
    <row r="1023" spans="3:22" ht="20.25" customHeight="1">
      <c r="C1023" s="96"/>
      <c r="D1023" s="102">
        <f t="shared" si="387"/>
        <v>1023</v>
      </c>
      <c r="E1023" s="106" t="s">
        <v>395</v>
      </c>
      <c r="F1023" s="108">
        <f t="shared" si="432"/>
        <v>1022</v>
      </c>
      <c r="G1023" s="105" t="s">
        <v>396</v>
      </c>
      <c r="H1023" s="105"/>
      <c r="I1023" s="104"/>
      <c r="J1023" s="108" t="str">
        <f>J1022</f>
        <v>1596 mm od</v>
      </c>
      <c r="K1023" s="118">
        <v>2</v>
      </c>
      <c r="L1023" s="118" t="s">
        <v>81</v>
      </c>
      <c r="M1023" s="119">
        <f>K1023</f>
        <v>2</v>
      </c>
      <c r="N1023" s="104" t="s">
        <v>81</v>
      </c>
      <c r="O1023" s="120">
        <v>6</v>
      </c>
      <c r="P1023" s="104" t="s">
        <v>162</v>
      </c>
      <c r="Q1023" s="150">
        <f t="shared" si="433"/>
        <v>12</v>
      </c>
      <c r="R1023" s="148">
        <v>1</v>
      </c>
      <c r="S1023" s="150">
        <f t="shared" si="434"/>
        <v>13</v>
      </c>
      <c r="T1023" s="152" t="s">
        <v>48</v>
      </c>
    </row>
    <row r="1024" spans="3:22" ht="20.25" customHeight="1">
      <c r="C1024" s="96"/>
      <c r="D1024" s="102">
        <f t="shared" si="387"/>
        <v>1024</v>
      </c>
      <c r="E1024" s="106" t="s">
        <v>397</v>
      </c>
      <c r="F1024" s="108">
        <f t="shared" si="432"/>
        <v>1023</v>
      </c>
      <c r="G1024" s="105" t="s">
        <v>156</v>
      </c>
      <c r="H1024" s="105"/>
      <c r="I1024" s="104">
        <v>12</v>
      </c>
      <c r="J1024" s="132" t="s">
        <v>398</v>
      </c>
      <c r="K1024" s="118">
        <v>1</v>
      </c>
      <c r="L1024" s="141" t="s">
        <v>81</v>
      </c>
      <c r="M1024" s="142">
        <f>(300*16+1536*3.142*360^-1*120*2)*2*0.001</f>
        <v>16.034815999999999</v>
      </c>
      <c r="N1024" s="104" t="s">
        <v>249</v>
      </c>
      <c r="O1024" s="162">
        <f>VLOOKUP(I1024,BM!$B$3:$Y$62,22,FALSE)</f>
        <v>1.6</v>
      </c>
      <c r="P1024" s="104" t="s">
        <v>162</v>
      </c>
      <c r="Q1024" s="150">
        <f t="shared" si="433"/>
        <v>25.655705600000001</v>
      </c>
      <c r="R1024" s="148">
        <v>1</v>
      </c>
      <c r="S1024" s="150">
        <f t="shared" si="434"/>
        <v>26.655705600000001</v>
      </c>
      <c r="T1024" s="152" t="s">
        <v>48</v>
      </c>
      <c r="V1024" s="87">
        <f>(135+135+25)*8+(1596*3.142*0.33)</f>
        <v>4014.8285599999999</v>
      </c>
    </row>
    <row r="1025" spans="3:20" ht="20.25" customHeight="1">
      <c r="C1025" s="96"/>
      <c r="D1025" s="102">
        <f t="shared" si="387"/>
        <v>1025</v>
      </c>
      <c r="E1025" s="106" t="s">
        <v>399</v>
      </c>
      <c r="F1025" s="108">
        <f t="shared" si="432"/>
        <v>1024</v>
      </c>
      <c r="G1025" s="105" t="s">
        <v>149</v>
      </c>
      <c r="H1025" s="105"/>
      <c r="I1025" s="104"/>
      <c r="J1025" s="104"/>
      <c r="K1025" s="118">
        <v>1</v>
      </c>
      <c r="L1025" s="118" t="s">
        <v>39</v>
      </c>
      <c r="M1025" s="119">
        <v>1</v>
      </c>
      <c r="N1025" s="104" t="s">
        <v>81</v>
      </c>
      <c r="O1025" s="120">
        <v>8</v>
      </c>
      <c r="P1025" s="104" t="s">
        <v>162</v>
      </c>
      <c r="Q1025" s="150">
        <f t="shared" si="433"/>
        <v>8</v>
      </c>
      <c r="R1025" s="148">
        <v>1</v>
      </c>
      <c r="S1025" s="150">
        <f t="shared" si="434"/>
        <v>9</v>
      </c>
      <c r="T1025" s="152" t="s">
        <v>48</v>
      </c>
    </row>
    <row r="1026" spans="3:20" ht="20.25" customHeight="1">
      <c r="C1026" s="96">
        <f>D1026</f>
        <v>1026</v>
      </c>
      <c r="D1026" s="102">
        <f t="shared" si="387"/>
        <v>1026</v>
      </c>
      <c r="E1026" s="103" t="s">
        <v>400</v>
      </c>
      <c r="F1026" s="108">
        <f>D1019</f>
        <v>1019</v>
      </c>
      <c r="G1026" s="105"/>
      <c r="H1026" s="105"/>
      <c r="I1026" s="104"/>
      <c r="J1026" s="104"/>
      <c r="K1026" s="118"/>
      <c r="L1026" s="118"/>
      <c r="M1026" s="119"/>
      <c r="N1026" s="104"/>
      <c r="O1026" s="120"/>
      <c r="P1026" s="104"/>
      <c r="Q1026" s="150"/>
      <c r="R1026" s="148"/>
      <c r="S1026" s="150"/>
      <c r="T1026" s="149"/>
    </row>
    <row r="1027" spans="3:20" ht="20.25" customHeight="1">
      <c r="C1027" s="96"/>
      <c r="D1027" s="102">
        <f t="shared" si="387"/>
        <v>1027</v>
      </c>
      <c r="E1027" s="106" t="s">
        <v>401</v>
      </c>
      <c r="F1027" s="108">
        <f t="shared" ref="F1027:F1029" si="435">D1026</f>
        <v>1026</v>
      </c>
      <c r="G1027" s="105" t="s">
        <v>402</v>
      </c>
      <c r="H1027" s="105"/>
      <c r="I1027" s="104"/>
      <c r="J1027" s="104"/>
      <c r="K1027" s="118">
        <v>1</v>
      </c>
      <c r="L1027" s="118" t="s">
        <v>39</v>
      </c>
      <c r="M1027" s="119">
        <v>1</v>
      </c>
      <c r="N1027" s="104" t="s">
        <v>81</v>
      </c>
      <c r="O1027" s="120">
        <v>4</v>
      </c>
      <c r="P1027" s="104" t="s">
        <v>162</v>
      </c>
      <c r="Q1027" s="150">
        <f t="shared" ref="Q1027:Q1029" si="436">M1027*O1027</f>
        <v>4</v>
      </c>
      <c r="R1027" s="148">
        <v>1</v>
      </c>
      <c r="S1027" s="150">
        <f t="shared" ref="S1027:S1029" si="437">Q1027+R1027</f>
        <v>5</v>
      </c>
      <c r="T1027" s="152" t="s">
        <v>48</v>
      </c>
    </row>
    <row r="1028" spans="3:20" ht="20.25" customHeight="1">
      <c r="C1028" s="96"/>
      <c r="D1028" s="102">
        <f t="shared" ref="D1028:D1091" si="438">D1027+1</f>
        <v>1028</v>
      </c>
      <c r="E1028" s="106" t="s">
        <v>403</v>
      </c>
      <c r="F1028" s="108">
        <f t="shared" si="435"/>
        <v>1027</v>
      </c>
      <c r="G1028" s="105" t="s">
        <v>172</v>
      </c>
      <c r="H1028" s="105"/>
      <c r="I1028" s="104"/>
      <c r="J1028" s="104"/>
      <c r="K1028" s="118">
        <v>1</v>
      </c>
      <c r="L1028" s="141" t="s">
        <v>39</v>
      </c>
      <c r="M1028" s="119">
        <v>1</v>
      </c>
      <c r="N1028" s="104" t="s">
        <v>81</v>
      </c>
      <c r="O1028" s="120">
        <v>4</v>
      </c>
      <c r="P1028" s="104" t="s">
        <v>162</v>
      </c>
      <c r="Q1028" s="150">
        <f t="shared" si="436"/>
        <v>4</v>
      </c>
      <c r="R1028" s="148">
        <v>1</v>
      </c>
      <c r="S1028" s="150">
        <f t="shared" si="437"/>
        <v>5</v>
      </c>
      <c r="T1028" s="152" t="s">
        <v>48</v>
      </c>
    </row>
    <row r="1029" spans="3:20" ht="20.25" customHeight="1">
      <c r="C1029" s="96"/>
      <c r="D1029" s="102">
        <f t="shared" si="438"/>
        <v>1029</v>
      </c>
      <c r="E1029" s="106" t="s">
        <v>404</v>
      </c>
      <c r="F1029" s="108">
        <f t="shared" si="435"/>
        <v>1028</v>
      </c>
      <c r="G1029" s="105" t="s">
        <v>115</v>
      </c>
      <c r="H1029" s="105"/>
      <c r="I1029" s="104">
        <v>12</v>
      </c>
      <c r="J1029" s="104"/>
      <c r="K1029" s="118">
        <v>6</v>
      </c>
      <c r="L1029" s="118" t="s">
        <v>139</v>
      </c>
      <c r="M1029" s="142">
        <f>430*12*0.001</f>
        <v>5.16</v>
      </c>
      <c r="N1029" s="104" t="s">
        <v>249</v>
      </c>
      <c r="O1029" s="162">
        <f>VLOOKUP(I1029,BM!$B$3:$Y$62,22,FALSE)</f>
        <v>1.6</v>
      </c>
      <c r="P1029" s="104" t="s">
        <v>162</v>
      </c>
      <c r="Q1029" s="150">
        <f t="shared" si="436"/>
        <v>8.2560000000000002</v>
      </c>
      <c r="R1029" s="148">
        <v>1</v>
      </c>
      <c r="S1029" s="150">
        <f t="shared" si="437"/>
        <v>9.2560000000000002</v>
      </c>
      <c r="T1029" s="152" t="s">
        <v>48</v>
      </c>
    </row>
    <row r="1030" spans="3:20" ht="20.25" customHeight="1">
      <c r="C1030" s="96">
        <f>D1030</f>
        <v>1030</v>
      </c>
      <c r="D1030" s="102">
        <f t="shared" si="438"/>
        <v>1030</v>
      </c>
      <c r="E1030" s="103" t="s">
        <v>405</v>
      </c>
      <c r="F1030" s="167">
        <f>D1026</f>
        <v>1026</v>
      </c>
      <c r="G1030" s="105"/>
      <c r="H1030" s="105"/>
      <c r="I1030" s="104"/>
      <c r="J1030" s="104"/>
      <c r="K1030" s="118"/>
      <c r="L1030" s="118"/>
      <c r="M1030" s="119"/>
      <c r="N1030" s="104"/>
      <c r="O1030" s="120"/>
      <c r="P1030" s="104"/>
      <c r="Q1030" s="150"/>
      <c r="R1030" s="148"/>
      <c r="S1030" s="150"/>
      <c r="T1030" s="149"/>
    </row>
    <row r="1031" spans="3:20" ht="20.25" customHeight="1">
      <c r="C1031" s="96"/>
      <c r="D1031" s="102">
        <f t="shared" si="438"/>
        <v>1031</v>
      </c>
      <c r="E1031" s="106" t="s">
        <v>406</v>
      </c>
      <c r="F1031" s="108">
        <f t="shared" ref="F1031:F1032" si="439">D1030</f>
        <v>1030</v>
      </c>
      <c r="G1031" s="105" t="s">
        <v>44</v>
      </c>
      <c r="H1031" s="105"/>
      <c r="I1031" s="104">
        <v>18</v>
      </c>
      <c r="J1031" s="104" t="s">
        <v>407</v>
      </c>
      <c r="K1031" s="118">
        <v>1</v>
      </c>
      <c r="L1031" s="118" t="s">
        <v>39</v>
      </c>
      <c r="M1031" s="119">
        <v>1</v>
      </c>
      <c r="N1031" s="104"/>
      <c r="O1031" s="120">
        <v>12</v>
      </c>
      <c r="P1031" s="104" t="s">
        <v>162</v>
      </c>
      <c r="Q1031" s="150">
        <f t="shared" ref="Q1031:Q1032" si="440">M1031*O1031</f>
        <v>12</v>
      </c>
      <c r="R1031" s="148">
        <v>1</v>
      </c>
      <c r="S1031" s="150">
        <f t="shared" ref="S1031:S1032" si="441">Q1031+R1031</f>
        <v>13</v>
      </c>
      <c r="T1031" s="152" t="s">
        <v>48</v>
      </c>
    </row>
    <row r="1032" spans="3:20" ht="20.25" customHeight="1">
      <c r="C1032" s="96"/>
      <c r="D1032" s="102">
        <f t="shared" si="438"/>
        <v>1032</v>
      </c>
      <c r="E1032" s="106" t="s">
        <v>64</v>
      </c>
      <c r="F1032" s="108">
        <f t="shared" si="439"/>
        <v>1031</v>
      </c>
      <c r="G1032" s="105" t="s">
        <v>44</v>
      </c>
      <c r="H1032" s="105"/>
      <c r="I1032" s="104">
        <v>18</v>
      </c>
      <c r="J1032" s="108" t="str">
        <f>J1031</f>
        <v>6130 lg</v>
      </c>
      <c r="K1032" s="164">
        <f>K1031</f>
        <v>1</v>
      </c>
      <c r="L1032" s="164" t="str">
        <f>L1031</f>
        <v>No</v>
      </c>
      <c r="M1032" s="142">
        <f>M1031</f>
        <v>1</v>
      </c>
      <c r="N1032" s="104"/>
      <c r="O1032" s="120">
        <v>1</v>
      </c>
      <c r="P1032" s="104" t="s">
        <v>41</v>
      </c>
      <c r="Q1032" s="150">
        <f t="shared" si="440"/>
        <v>1</v>
      </c>
      <c r="R1032" s="148"/>
      <c r="S1032" s="150">
        <f t="shared" si="441"/>
        <v>1</v>
      </c>
      <c r="T1032" s="152" t="s">
        <v>41</v>
      </c>
    </row>
    <row r="1033" spans="3:20" ht="20.25" customHeight="1">
      <c r="C1033" s="96">
        <f t="shared" ref="C1033:C1034" si="442">D1033</f>
        <v>1033</v>
      </c>
      <c r="D1033" s="102">
        <f t="shared" si="438"/>
        <v>1033</v>
      </c>
      <c r="E1033" s="163" t="s">
        <v>766</v>
      </c>
      <c r="F1033" s="108"/>
      <c r="G1033" s="105"/>
      <c r="H1033" s="105"/>
      <c r="I1033" s="104"/>
      <c r="J1033" s="104"/>
      <c r="K1033" s="118"/>
      <c r="L1033" s="118"/>
      <c r="M1033" s="119"/>
      <c r="N1033" s="104"/>
      <c r="O1033" s="120"/>
      <c r="P1033" s="104"/>
      <c r="Q1033" s="150"/>
      <c r="R1033" s="148"/>
      <c r="S1033" s="150"/>
      <c r="T1033" s="149"/>
    </row>
    <row r="1034" spans="3:20" ht="20.25" customHeight="1">
      <c r="C1034" s="96">
        <f t="shared" si="442"/>
        <v>1034</v>
      </c>
      <c r="D1034" s="102">
        <f t="shared" si="438"/>
        <v>1034</v>
      </c>
      <c r="E1034" s="103" t="s">
        <v>426</v>
      </c>
      <c r="F1034" s="112">
        <f>D624</f>
        <v>624</v>
      </c>
      <c r="G1034" s="105"/>
      <c r="H1034" s="105"/>
      <c r="I1034" s="104"/>
      <c r="J1034" s="104"/>
      <c r="K1034" s="118"/>
      <c r="L1034" s="118"/>
      <c r="M1034" s="119"/>
      <c r="N1034" s="104"/>
      <c r="O1034" s="120"/>
      <c r="P1034" s="104"/>
      <c r="Q1034" s="150"/>
      <c r="R1034" s="148"/>
      <c r="S1034" s="150"/>
      <c r="T1034" s="149"/>
    </row>
    <row r="1035" spans="3:20" ht="20.25" customHeight="1">
      <c r="C1035" s="96"/>
      <c r="D1035" s="102">
        <f t="shared" si="438"/>
        <v>1035</v>
      </c>
      <c r="E1035" s="106" t="s">
        <v>410</v>
      </c>
      <c r="F1035" s="108">
        <f t="shared" ref="F1035:F1040" si="443">D1034</f>
        <v>1034</v>
      </c>
      <c r="G1035" s="105" t="s">
        <v>37</v>
      </c>
      <c r="H1035" s="105"/>
      <c r="I1035" s="104"/>
      <c r="J1035" s="104"/>
      <c r="K1035" s="118">
        <v>1</v>
      </c>
      <c r="L1035" s="141" t="s">
        <v>39</v>
      </c>
      <c r="M1035" s="119">
        <v>1</v>
      </c>
      <c r="N1035" s="132" t="s">
        <v>39</v>
      </c>
      <c r="O1035" s="120">
        <v>4</v>
      </c>
      <c r="P1035" s="132" t="s">
        <v>41</v>
      </c>
      <c r="Q1035" s="150">
        <f t="shared" ref="Q1035:Q1040" si="444">M1035*O1035</f>
        <v>4</v>
      </c>
      <c r="R1035" s="148"/>
      <c r="S1035" s="150">
        <f t="shared" ref="S1035:S1040" si="445">Q1035+R1035</f>
        <v>4</v>
      </c>
      <c r="T1035" s="152" t="s">
        <v>41</v>
      </c>
    </row>
    <row r="1036" spans="3:20" ht="20.25" customHeight="1">
      <c r="C1036" s="96"/>
      <c r="D1036" s="102">
        <f t="shared" si="438"/>
        <v>1036</v>
      </c>
      <c r="E1036" s="106" t="s">
        <v>411</v>
      </c>
      <c r="F1036" s="108">
        <f t="shared" si="443"/>
        <v>1035</v>
      </c>
      <c r="G1036" s="105" t="s">
        <v>201</v>
      </c>
      <c r="H1036" s="105"/>
      <c r="I1036" s="104">
        <v>18</v>
      </c>
      <c r="J1036" s="132" t="s">
        <v>412</v>
      </c>
      <c r="K1036" s="118">
        <v>1</v>
      </c>
      <c r="L1036" s="118" t="s">
        <v>81</v>
      </c>
      <c r="M1036" s="128">
        <f t="shared" ref="M1036:M1040" si="446">LEFT(J1036,SEARCH(" ",J1036,1)-1)*K1036*0.001</f>
        <v>0.83100000000000007</v>
      </c>
      <c r="N1036" s="104" t="s">
        <v>139</v>
      </c>
      <c r="O1036" s="162">
        <f>VLOOKUP(I1036,BM!$B$3:$Y$62,2,FALSE)</f>
        <v>0.1</v>
      </c>
      <c r="P1036" s="104" t="s">
        <v>112</v>
      </c>
      <c r="Q1036" s="150">
        <f t="shared" si="444"/>
        <v>8.3100000000000007E-2</v>
      </c>
      <c r="R1036" s="148">
        <v>1</v>
      </c>
      <c r="S1036" s="150">
        <f t="shared" si="445"/>
        <v>1.0831</v>
      </c>
      <c r="T1036" s="152" t="s">
        <v>48</v>
      </c>
    </row>
    <row r="1037" spans="3:20" ht="20.25" customHeight="1">
      <c r="C1037" s="96"/>
      <c r="D1037" s="102">
        <f t="shared" si="438"/>
        <v>1037</v>
      </c>
      <c r="E1037" s="106" t="s">
        <v>413</v>
      </c>
      <c r="F1037" s="108">
        <f t="shared" si="443"/>
        <v>1036</v>
      </c>
      <c r="G1037" s="105" t="s">
        <v>52</v>
      </c>
      <c r="H1037" s="105"/>
      <c r="I1037" s="108">
        <f t="shared" ref="I1037:J1037" si="447">I1036</f>
        <v>18</v>
      </c>
      <c r="J1037" s="108" t="str">
        <f t="shared" si="447"/>
        <v>831 mm</v>
      </c>
      <c r="K1037" s="118">
        <v>1</v>
      </c>
      <c r="L1037" s="118" t="s">
        <v>81</v>
      </c>
      <c r="M1037" s="128">
        <f t="shared" si="446"/>
        <v>0.83100000000000007</v>
      </c>
      <c r="N1037" s="104" t="s">
        <v>139</v>
      </c>
      <c r="O1037" s="162">
        <f>VLOOKUP(I1037,BM!$B$3:$Y$62,3,FALSE)</f>
        <v>0.25</v>
      </c>
      <c r="P1037" s="104" t="s">
        <v>112</v>
      </c>
      <c r="Q1037" s="150">
        <f t="shared" si="444"/>
        <v>0.20775000000000002</v>
      </c>
      <c r="R1037" s="148">
        <v>1</v>
      </c>
      <c r="S1037" s="150">
        <f t="shared" si="445"/>
        <v>1.2077500000000001</v>
      </c>
      <c r="T1037" s="152" t="s">
        <v>48</v>
      </c>
    </row>
    <row r="1038" spans="3:20" ht="20.25" customHeight="1">
      <c r="C1038" s="96"/>
      <c r="D1038" s="102">
        <f t="shared" si="438"/>
        <v>1038</v>
      </c>
      <c r="E1038" s="106" t="s">
        <v>414</v>
      </c>
      <c r="F1038" s="108">
        <f t="shared" si="443"/>
        <v>1037</v>
      </c>
      <c r="G1038" s="105" t="s">
        <v>61</v>
      </c>
      <c r="H1038" s="105"/>
      <c r="I1038" s="108">
        <f t="shared" ref="I1038:J1038" si="448">I1037</f>
        <v>18</v>
      </c>
      <c r="J1038" s="108" t="str">
        <f t="shared" si="448"/>
        <v>831 mm</v>
      </c>
      <c r="K1038" s="118">
        <v>1</v>
      </c>
      <c r="L1038" s="118" t="s">
        <v>81</v>
      </c>
      <c r="M1038" s="128">
        <f t="shared" si="446"/>
        <v>0.83100000000000007</v>
      </c>
      <c r="N1038" s="104" t="s">
        <v>139</v>
      </c>
      <c r="O1038" s="162">
        <f>VLOOKUP(I1038,BM!$B$3:$Y$62,4,FALSE)</f>
        <v>0.15</v>
      </c>
      <c r="P1038" s="104" t="s">
        <v>112</v>
      </c>
      <c r="Q1038" s="150">
        <f t="shared" si="444"/>
        <v>0.12465000000000001</v>
      </c>
      <c r="R1038" s="148">
        <v>1</v>
      </c>
      <c r="S1038" s="150">
        <f t="shared" si="445"/>
        <v>1.1246499999999999</v>
      </c>
      <c r="T1038" s="152" t="s">
        <v>48</v>
      </c>
    </row>
    <row r="1039" spans="3:20" ht="20.25" customHeight="1">
      <c r="C1039" s="96"/>
      <c r="D1039" s="102">
        <f t="shared" si="438"/>
        <v>1039</v>
      </c>
      <c r="E1039" s="106" t="s">
        <v>415</v>
      </c>
      <c r="F1039" s="108">
        <f t="shared" si="443"/>
        <v>1038</v>
      </c>
      <c r="G1039" s="105" t="s">
        <v>224</v>
      </c>
      <c r="H1039" s="105"/>
      <c r="I1039" s="108">
        <f t="shared" ref="I1039:J1039" si="449">I1038</f>
        <v>18</v>
      </c>
      <c r="J1039" s="108" t="str">
        <f t="shared" si="449"/>
        <v>831 mm</v>
      </c>
      <c r="K1039" s="118">
        <v>1</v>
      </c>
      <c r="L1039" s="118" t="s">
        <v>81</v>
      </c>
      <c r="M1039" s="128">
        <f t="shared" si="446"/>
        <v>0.83100000000000007</v>
      </c>
      <c r="N1039" s="104" t="s">
        <v>139</v>
      </c>
      <c r="O1039" s="162">
        <f>VLOOKUP(I1039,BM!$B$3:$Y$62,5,FALSE)</f>
        <v>0.5</v>
      </c>
      <c r="P1039" s="104" t="s">
        <v>112</v>
      </c>
      <c r="Q1039" s="150">
        <f t="shared" si="444"/>
        <v>0.41550000000000004</v>
      </c>
      <c r="R1039" s="148">
        <v>1</v>
      </c>
      <c r="S1039" s="150">
        <f t="shared" si="445"/>
        <v>1.4155</v>
      </c>
      <c r="T1039" s="152" t="s">
        <v>48</v>
      </c>
    </row>
    <row r="1040" spans="3:20" ht="20.25" customHeight="1">
      <c r="C1040" s="96"/>
      <c r="D1040" s="102">
        <f t="shared" si="438"/>
        <v>1040</v>
      </c>
      <c r="E1040" s="106" t="s">
        <v>416</v>
      </c>
      <c r="F1040" s="108">
        <f t="shared" si="443"/>
        <v>1039</v>
      </c>
      <c r="G1040" s="105" t="s">
        <v>61</v>
      </c>
      <c r="H1040" s="105"/>
      <c r="I1040" s="108">
        <f t="shared" ref="I1040:J1040" si="450">I1039</f>
        <v>18</v>
      </c>
      <c r="J1040" s="108" t="str">
        <f t="shared" si="450"/>
        <v>831 mm</v>
      </c>
      <c r="K1040" s="118">
        <v>1</v>
      </c>
      <c r="L1040" s="118" t="s">
        <v>81</v>
      </c>
      <c r="M1040" s="128">
        <f t="shared" si="446"/>
        <v>0.83100000000000007</v>
      </c>
      <c r="N1040" s="104" t="s">
        <v>139</v>
      </c>
      <c r="O1040" s="162">
        <f>VLOOKUP(I1040,BM!$B$3:$Y$62,6,FALSE)</f>
        <v>1</v>
      </c>
      <c r="P1040" s="104" t="s">
        <v>112</v>
      </c>
      <c r="Q1040" s="150">
        <f t="shared" si="444"/>
        <v>0.83100000000000007</v>
      </c>
      <c r="R1040" s="148">
        <v>1</v>
      </c>
      <c r="S1040" s="150">
        <f t="shared" si="445"/>
        <v>1.831</v>
      </c>
      <c r="T1040" s="152" t="s">
        <v>48</v>
      </c>
    </row>
    <row r="1041" spans="3:20" ht="20.25" customHeight="1">
      <c r="C1041" s="96">
        <f>D1041</f>
        <v>1041</v>
      </c>
      <c r="D1041" s="102">
        <f t="shared" si="438"/>
        <v>1041</v>
      </c>
      <c r="E1041" s="103" t="s">
        <v>767</v>
      </c>
      <c r="F1041" s="108">
        <f>D1034</f>
        <v>1034</v>
      </c>
      <c r="G1041" s="105"/>
      <c r="H1041" s="105"/>
      <c r="I1041" s="104"/>
      <c r="J1041" s="104"/>
      <c r="K1041" s="118"/>
      <c r="L1041" s="118"/>
      <c r="M1041" s="119"/>
      <c r="N1041" s="104"/>
      <c r="O1041" s="120"/>
      <c r="P1041" s="104"/>
      <c r="Q1041" s="150"/>
      <c r="R1041" s="148"/>
      <c r="S1041" s="150"/>
      <c r="T1041" s="149"/>
    </row>
    <row r="1042" spans="3:20" ht="20.25" customHeight="1">
      <c r="C1042" s="96"/>
      <c r="D1042" s="102">
        <f t="shared" si="438"/>
        <v>1042</v>
      </c>
      <c r="E1042" s="106" t="s">
        <v>418</v>
      </c>
      <c r="F1042" s="108">
        <f t="shared" ref="F1042:F1045" si="451">D1041</f>
        <v>1041</v>
      </c>
      <c r="G1042" s="105" t="s">
        <v>286</v>
      </c>
      <c r="H1042" s="105"/>
      <c r="I1042" s="108">
        <f>I1040</f>
        <v>18</v>
      </c>
      <c r="J1042" s="108" t="str">
        <f>J1040</f>
        <v>831 mm</v>
      </c>
      <c r="K1042" s="118">
        <v>1</v>
      </c>
      <c r="L1042" s="118" t="s">
        <v>81</v>
      </c>
      <c r="M1042" s="119">
        <v>1</v>
      </c>
      <c r="N1042" s="104" t="s">
        <v>139</v>
      </c>
      <c r="O1042" s="120">
        <v>3</v>
      </c>
      <c r="P1042" s="104" t="s">
        <v>112</v>
      </c>
      <c r="Q1042" s="150">
        <f t="shared" ref="Q1042:Q1045" si="452">M1042*O1042</f>
        <v>3</v>
      </c>
      <c r="R1042" s="148">
        <v>1</v>
      </c>
      <c r="S1042" s="150">
        <f t="shared" ref="S1042:S1045" si="453">Q1042+R1042</f>
        <v>4</v>
      </c>
      <c r="T1042" s="152" t="s">
        <v>48</v>
      </c>
    </row>
    <row r="1043" spans="3:20" ht="20.25" customHeight="1">
      <c r="C1043" s="96"/>
      <c r="D1043" s="102">
        <f t="shared" si="438"/>
        <v>1043</v>
      </c>
      <c r="E1043" s="106" t="s">
        <v>419</v>
      </c>
      <c r="F1043" s="108">
        <f t="shared" si="451"/>
        <v>1042</v>
      </c>
      <c r="G1043" s="105" t="s">
        <v>420</v>
      </c>
      <c r="H1043" s="105"/>
      <c r="I1043" s="108">
        <f t="shared" ref="I1043:J1043" si="454">I1042</f>
        <v>18</v>
      </c>
      <c r="J1043" s="108" t="str">
        <f t="shared" si="454"/>
        <v>831 mm</v>
      </c>
      <c r="K1043" s="118">
        <v>1</v>
      </c>
      <c r="L1043" s="118" t="s">
        <v>81</v>
      </c>
      <c r="M1043" s="128">
        <f>LEFT(J1043,SEARCH(" ",J1043,1)-1)*K1043*0.001*2</f>
        <v>1.6620000000000001</v>
      </c>
      <c r="N1043" s="104" t="s">
        <v>139</v>
      </c>
      <c r="O1043" s="162">
        <f>VLOOKUP(I1043,BM!$B$3:$Y$62,8,FALSE)</f>
        <v>0.3</v>
      </c>
      <c r="P1043" s="104" t="s">
        <v>112</v>
      </c>
      <c r="Q1043" s="150">
        <f t="shared" si="452"/>
        <v>0.49860000000000004</v>
      </c>
      <c r="R1043" s="148">
        <v>1</v>
      </c>
      <c r="S1043" s="150">
        <f t="shared" si="453"/>
        <v>1.4986000000000002</v>
      </c>
      <c r="T1043" s="152" t="s">
        <v>48</v>
      </c>
    </row>
    <row r="1044" spans="3:20" ht="20.25" customHeight="1">
      <c r="C1044" s="96"/>
      <c r="D1044" s="102">
        <f t="shared" si="438"/>
        <v>1044</v>
      </c>
      <c r="E1044" s="106" t="s">
        <v>421</v>
      </c>
      <c r="F1044" s="108">
        <f t="shared" si="451"/>
        <v>1043</v>
      </c>
      <c r="G1044" s="105" t="s">
        <v>348</v>
      </c>
      <c r="H1044" s="105"/>
      <c r="I1044" s="108">
        <f t="shared" ref="I1044:J1044" si="455">I1043</f>
        <v>18</v>
      </c>
      <c r="J1044" s="108" t="str">
        <f t="shared" si="455"/>
        <v>831 mm</v>
      </c>
      <c r="K1044" s="118">
        <v>1</v>
      </c>
      <c r="L1044" s="118" t="s">
        <v>81</v>
      </c>
      <c r="M1044" s="128">
        <f>LEFT(J1044,SEARCH(" ",J1044,1)-1)*K1044*0.001*2</f>
        <v>1.6620000000000001</v>
      </c>
      <c r="N1044" s="104" t="s">
        <v>139</v>
      </c>
      <c r="O1044" s="162">
        <f>VLOOKUP(I1044,BM!$B$3:$Y$62,9,FALSE)</f>
        <v>1</v>
      </c>
      <c r="P1044" s="104" t="s">
        <v>112</v>
      </c>
      <c r="Q1044" s="150">
        <f t="shared" si="452"/>
        <v>1.6620000000000001</v>
      </c>
      <c r="R1044" s="148">
        <v>1</v>
      </c>
      <c r="S1044" s="150">
        <f t="shared" si="453"/>
        <v>2.6619999999999999</v>
      </c>
      <c r="T1044" s="152" t="s">
        <v>48</v>
      </c>
    </row>
    <row r="1045" spans="3:20" ht="20.25" customHeight="1">
      <c r="C1045" s="96"/>
      <c r="D1045" s="102">
        <f t="shared" si="438"/>
        <v>1045</v>
      </c>
      <c r="E1045" s="106" t="s">
        <v>422</v>
      </c>
      <c r="F1045" s="108">
        <f t="shared" si="451"/>
        <v>1044</v>
      </c>
      <c r="G1045" s="105" t="s">
        <v>286</v>
      </c>
      <c r="H1045" s="105"/>
      <c r="I1045" s="108">
        <f t="shared" ref="I1045:J1045" si="456">I1044</f>
        <v>18</v>
      </c>
      <c r="J1045" s="108" t="str">
        <f t="shared" si="456"/>
        <v>831 mm</v>
      </c>
      <c r="K1045" s="118">
        <v>1</v>
      </c>
      <c r="L1045" s="118" t="s">
        <v>81</v>
      </c>
      <c r="M1045" s="128">
        <v>1</v>
      </c>
      <c r="N1045" s="132" t="s">
        <v>39</v>
      </c>
      <c r="O1045" s="120">
        <v>3</v>
      </c>
      <c r="P1045" s="104" t="s">
        <v>112</v>
      </c>
      <c r="Q1045" s="150">
        <f t="shared" si="452"/>
        <v>3</v>
      </c>
      <c r="R1045" s="148">
        <v>1</v>
      </c>
      <c r="S1045" s="150">
        <f t="shared" si="453"/>
        <v>4</v>
      </c>
      <c r="T1045" s="152" t="s">
        <v>48</v>
      </c>
    </row>
    <row r="1046" spans="3:20" ht="20.25" customHeight="1">
      <c r="C1046" s="96">
        <f>D1046</f>
        <v>1046</v>
      </c>
      <c r="D1046" s="102">
        <f t="shared" si="438"/>
        <v>1046</v>
      </c>
      <c r="E1046" s="103" t="s">
        <v>423</v>
      </c>
      <c r="F1046" s="108">
        <f>D1041</f>
        <v>1041</v>
      </c>
      <c r="G1046" s="105"/>
      <c r="H1046" s="105"/>
      <c r="I1046" s="104"/>
      <c r="J1046" s="104"/>
      <c r="K1046" s="118"/>
      <c r="L1046" s="118"/>
      <c r="M1046" s="119"/>
      <c r="N1046" s="104"/>
      <c r="O1046" s="120"/>
      <c r="P1046" s="104"/>
      <c r="Q1046" s="150"/>
      <c r="R1046" s="148"/>
      <c r="S1046" s="150"/>
      <c r="T1046" s="149"/>
    </row>
    <row r="1047" spans="3:20" ht="20.25" customHeight="1">
      <c r="C1047" s="96"/>
      <c r="D1047" s="102">
        <f t="shared" si="438"/>
        <v>1047</v>
      </c>
      <c r="E1047" s="106" t="s">
        <v>424</v>
      </c>
      <c r="F1047" s="108">
        <f t="shared" ref="F1047:F1048" si="457">D1046</f>
        <v>1046</v>
      </c>
      <c r="G1047" s="105" t="s">
        <v>348</v>
      </c>
      <c r="H1047" s="105"/>
      <c r="I1047" s="104">
        <v>18</v>
      </c>
      <c r="J1047" s="108" t="str">
        <f>J1045</f>
        <v>831 mm</v>
      </c>
      <c r="K1047" s="118">
        <v>1</v>
      </c>
      <c r="L1047" s="118" t="s">
        <v>81</v>
      </c>
      <c r="M1047" s="128">
        <f>LEFT(J1047,SEARCH(" ",J1047,1)-1)*K1047*0.001*2</f>
        <v>1.6620000000000001</v>
      </c>
      <c r="N1047" s="104" t="s">
        <v>139</v>
      </c>
      <c r="O1047" s="162">
        <f>VLOOKUP(I1047,BM!$B$3:$Y$62,9,FALSE)</f>
        <v>1</v>
      </c>
      <c r="P1047" s="104" t="s">
        <v>112</v>
      </c>
      <c r="Q1047" s="150">
        <f t="shared" ref="Q1047:Q1048" si="458">M1047*O1047</f>
        <v>1.6620000000000001</v>
      </c>
      <c r="R1047" s="148">
        <v>1</v>
      </c>
      <c r="S1047" s="150">
        <f t="shared" ref="S1047:S1048" si="459">Q1047+R1047</f>
        <v>2.6619999999999999</v>
      </c>
      <c r="T1047" s="152" t="s">
        <v>48</v>
      </c>
    </row>
    <row r="1048" spans="3:20" ht="20.25" customHeight="1">
      <c r="C1048" s="96"/>
      <c r="D1048" s="102">
        <f t="shared" si="438"/>
        <v>1048</v>
      </c>
      <c r="E1048" s="106" t="s">
        <v>425</v>
      </c>
      <c r="F1048" s="108">
        <f t="shared" si="457"/>
        <v>1047</v>
      </c>
      <c r="G1048" s="105" t="s">
        <v>111</v>
      </c>
      <c r="H1048" s="105"/>
      <c r="I1048" s="104">
        <v>18</v>
      </c>
      <c r="J1048" s="108" t="str">
        <f>J1047</f>
        <v>831 mm</v>
      </c>
      <c r="K1048" s="118">
        <v>1</v>
      </c>
      <c r="L1048" s="118" t="s">
        <v>81</v>
      </c>
      <c r="M1048" s="128">
        <f>LEFT(J1048,SEARCH(" ",J1048,1)-1)*K1048*0.001</f>
        <v>0.83100000000000007</v>
      </c>
      <c r="N1048" s="104" t="s">
        <v>139</v>
      </c>
      <c r="O1048" s="162">
        <f>VLOOKUP(I1048,BM!$B$3:$Y$62,10,FALSE)</f>
        <v>1</v>
      </c>
      <c r="P1048" s="104" t="s">
        <v>112</v>
      </c>
      <c r="Q1048" s="150">
        <f t="shared" si="458"/>
        <v>0.83100000000000007</v>
      </c>
      <c r="R1048" s="148">
        <v>1</v>
      </c>
      <c r="S1048" s="150">
        <f t="shared" si="459"/>
        <v>1.831</v>
      </c>
      <c r="T1048" s="152" t="s">
        <v>48</v>
      </c>
    </row>
    <row r="1049" spans="3:20" ht="20.25" customHeight="1">
      <c r="C1049" s="96">
        <f>D1049</f>
        <v>1049</v>
      </c>
      <c r="D1049" s="102">
        <f t="shared" si="438"/>
        <v>1049</v>
      </c>
      <c r="E1049" s="103" t="s">
        <v>426</v>
      </c>
      <c r="F1049" s="108">
        <f>D1046</f>
        <v>1046</v>
      </c>
      <c r="G1049" s="105"/>
      <c r="H1049" s="105"/>
      <c r="I1049" s="104"/>
      <c r="J1049" s="104"/>
      <c r="K1049" s="118"/>
      <c r="L1049" s="118"/>
      <c r="M1049" s="119"/>
      <c r="N1049" s="104"/>
      <c r="O1049" s="120"/>
      <c r="P1049" s="104"/>
      <c r="Q1049" s="150"/>
      <c r="R1049" s="148"/>
      <c r="S1049" s="150"/>
      <c r="T1049" s="149"/>
    </row>
    <row r="1050" spans="3:20" ht="20.25" customHeight="1">
      <c r="C1050" s="96"/>
      <c r="D1050" s="102">
        <f t="shared" si="438"/>
        <v>1050</v>
      </c>
      <c r="E1050" s="106" t="s">
        <v>427</v>
      </c>
      <c r="F1050" s="108">
        <f t="shared" ref="F1050:F1055" si="460">D1049</f>
        <v>1049</v>
      </c>
      <c r="G1050" s="105" t="s">
        <v>201</v>
      </c>
      <c r="H1050" s="105"/>
      <c r="I1050" s="104">
        <v>18</v>
      </c>
      <c r="J1050" s="108" t="str">
        <f>J1048</f>
        <v>831 mm</v>
      </c>
      <c r="K1050" s="118">
        <v>1</v>
      </c>
      <c r="L1050" s="118" t="s">
        <v>81</v>
      </c>
      <c r="M1050" s="119">
        <v>1</v>
      </c>
      <c r="N1050" s="104" t="s">
        <v>139</v>
      </c>
      <c r="O1050" s="120">
        <v>1</v>
      </c>
      <c r="P1050" s="104" t="s">
        <v>112</v>
      </c>
      <c r="Q1050" s="150">
        <f t="shared" ref="Q1050:Q1055" si="461">M1050*O1050</f>
        <v>1</v>
      </c>
      <c r="R1050" s="148">
        <v>1</v>
      </c>
      <c r="S1050" s="150">
        <f t="shared" ref="S1050:S1055" si="462">Q1050+R1050</f>
        <v>2</v>
      </c>
      <c r="T1050" s="152" t="s">
        <v>48</v>
      </c>
    </row>
    <row r="1051" spans="3:20" ht="20.25" customHeight="1">
      <c r="C1051" s="96"/>
      <c r="D1051" s="102">
        <f t="shared" si="438"/>
        <v>1051</v>
      </c>
      <c r="E1051" s="106" t="s">
        <v>428</v>
      </c>
      <c r="F1051" s="108">
        <f t="shared" si="460"/>
        <v>1050</v>
      </c>
      <c r="G1051" s="105" t="s">
        <v>115</v>
      </c>
      <c r="H1051" s="105"/>
      <c r="I1051" s="104">
        <v>12</v>
      </c>
      <c r="J1051" s="108" t="str">
        <f t="shared" ref="J1051:J1055" si="463">J1050</f>
        <v>831 mm</v>
      </c>
      <c r="K1051" s="118">
        <v>1</v>
      </c>
      <c r="L1051" s="118" t="s">
        <v>81</v>
      </c>
      <c r="M1051" s="128">
        <f t="shared" ref="M1051:M1054" si="464">LEFT(J1051,SEARCH(" ",J1051,1)-1)*K1051*0.001</f>
        <v>0.83100000000000007</v>
      </c>
      <c r="N1051" s="104" t="s">
        <v>139</v>
      </c>
      <c r="O1051" s="162">
        <f>VLOOKUP(I1051,BM!$B$3:$Y$62,12,FALSE)</f>
        <v>2.5</v>
      </c>
      <c r="P1051" s="104" t="s">
        <v>112</v>
      </c>
      <c r="Q1051" s="150">
        <f t="shared" si="461"/>
        <v>2.0775000000000001</v>
      </c>
      <c r="R1051" s="148">
        <v>1</v>
      </c>
      <c r="S1051" s="150">
        <f t="shared" si="462"/>
        <v>3.0775000000000001</v>
      </c>
      <c r="T1051" s="149" t="str">
        <f>T1050</f>
        <v>Hrs</v>
      </c>
    </row>
    <row r="1052" spans="3:20" ht="20.25" customHeight="1">
      <c r="C1052" s="96"/>
      <c r="D1052" s="102">
        <f t="shared" si="438"/>
        <v>1052</v>
      </c>
      <c r="E1052" s="106" t="s">
        <v>429</v>
      </c>
      <c r="F1052" s="108">
        <f t="shared" si="460"/>
        <v>1051</v>
      </c>
      <c r="G1052" s="105" t="s">
        <v>121</v>
      </c>
      <c r="H1052" s="105"/>
      <c r="I1052" s="104">
        <v>18</v>
      </c>
      <c r="J1052" s="108" t="str">
        <f t="shared" si="463"/>
        <v>831 mm</v>
      </c>
      <c r="K1052" s="118">
        <v>1</v>
      </c>
      <c r="L1052" s="118" t="s">
        <v>81</v>
      </c>
      <c r="M1052" s="128">
        <f t="shared" si="464"/>
        <v>0.83100000000000007</v>
      </c>
      <c r="N1052" s="104" t="s">
        <v>139</v>
      </c>
      <c r="O1052" s="162">
        <f>VLOOKUP(I1052,BM!$B$3:$Y$62,18,FALSE)</f>
        <v>1</v>
      </c>
      <c r="P1052" s="104" t="s">
        <v>112</v>
      </c>
      <c r="Q1052" s="150">
        <f t="shared" si="461"/>
        <v>0.83100000000000007</v>
      </c>
      <c r="R1052" s="148">
        <v>1</v>
      </c>
      <c r="S1052" s="150">
        <f t="shared" si="462"/>
        <v>1.831</v>
      </c>
      <c r="T1052" s="149" t="str">
        <f>T1051</f>
        <v>Hrs</v>
      </c>
    </row>
    <row r="1053" spans="3:20" ht="20.25" customHeight="1">
      <c r="C1053" s="96"/>
      <c r="D1053" s="102">
        <f t="shared" si="438"/>
        <v>1053</v>
      </c>
      <c r="E1053" s="106" t="s">
        <v>430</v>
      </c>
      <c r="F1053" s="108">
        <f t="shared" si="460"/>
        <v>1052</v>
      </c>
      <c r="G1053" s="105" t="s">
        <v>115</v>
      </c>
      <c r="H1053" s="105"/>
      <c r="I1053" s="104">
        <v>6</v>
      </c>
      <c r="J1053" s="108" t="str">
        <f t="shared" si="463"/>
        <v>831 mm</v>
      </c>
      <c r="K1053" s="118">
        <v>1</v>
      </c>
      <c r="L1053" s="118" t="s">
        <v>81</v>
      </c>
      <c r="M1053" s="128">
        <f t="shared" si="464"/>
        <v>0.83100000000000007</v>
      </c>
      <c r="N1053" s="104" t="s">
        <v>139</v>
      </c>
      <c r="O1053" s="162">
        <f>VLOOKUP(I1053,BM!$B$3:$Y$62,12,FALSE)</f>
        <v>0.9</v>
      </c>
      <c r="P1053" s="104" t="s">
        <v>112</v>
      </c>
      <c r="Q1053" s="150">
        <f t="shared" si="461"/>
        <v>0.74790000000000012</v>
      </c>
      <c r="R1053" s="148">
        <v>1</v>
      </c>
      <c r="S1053" s="150">
        <f t="shared" si="462"/>
        <v>1.7479</v>
      </c>
      <c r="T1053" s="149" t="str">
        <f>T1052</f>
        <v>Hrs</v>
      </c>
    </row>
    <row r="1054" spans="3:20" ht="20.25" customHeight="1">
      <c r="C1054" s="96"/>
      <c r="D1054" s="102">
        <f t="shared" si="438"/>
        <v>1054</v>
      </c>
      <c r="E1054" s="106" t="s">
        <v>431</v>
      </c>
      <c r="F1054" s="108">
        <f t="shared" si="460"/>
        <v>1053</v>
      </c>
      <c r="G1054" s="105" t="s">
        <v>61</v>
      </c>
      <c r="H1054" s="105"/>
      <c r="I1054" s="104">
        <v>6</v>
      </c>
      <c r="J1054" s="108" t="str">
        <f t="shared" si="463"/>
        <v>831 mm</v>
      </c>
      <c r="K1054" s="118">
        <v>1</v>
      </c>
      <c r="L1054" s="118" t="s">
        <v>81</v>
      </c>
      <c r="M1054" s="128">
        <f t="shared" si="464"/>
        <v>0.83100000000000007</v>
      </c>
      <c r="N1054" s="104" t="s">
        <v>139</v>
      </c>
      <c r="O1054" s="162">
        <f>VLOOKUP(I1054,BM!$B$3:$Y$62,20,FALSE)</f>
        <v>0.5</v>
      </c>
      <c r="P1054" s="104" t="s">
        <v>112</v>
      </c>
      <c r="Q1054" s="150">
        <f t="shared" si="461"/>
        <v>0.41550000000000004</v>
      </c>
      <c r="R1054" s="148">
        <v>1</v>
      </c>
      <c r="S1054" s="150">
        <f t="shared" si="462"/>
        <v>1.4155</v>
      </c>
      <c r="T1054" s="149" t="str">
        <f>T1053</f>
        <v>Hrs</v>
      </c>
    </row>
    <row r="1055" spans="3:20" ht="20.25" customHeight="1">
      <c r="C1055" s="96"/>
      <c r="D1055" s="102">
        <f t="shared" si="438"/>
        <v>1055</v>
      </c>
      <c r="E1055" s="106" t="s">
        <v>432</v>
      </c>
      <c r="F1055" s="108">
        <f t="shared" si="460"/>
        <v>1054</v>
      </c>
      <c r="G1055" s="105" t="s">
        <v>286</v>
      </c>
      <c r="H1055" s="105"/>
      <c r="I1055" s="104">
        <v>18</v>
      </c>
      <c r="J1055" s="108" t="str">
        <f t="shared" si="463"/>
        <v>831 mm</v>
      </c>
      <c r="K1055" s="118">
        <v>1</v>
      </c>
      <c r="L1055" s="118" t="s">
        <v>81</v>
      </c>
      <c r="M1055" s="119">
        <v>1</v>
      </c>
      <c r="N1055" s="132" t="s">
        <v>81</v>
      </c>
      <c r="O1055" s="120">
        <v>3</v>
      </c>
      <c r="P1055" s="104" t="s">
        <v>112</v>
      </c>
      <c r="Q1055" s="150">
        <f t="shared" si="461"/>
        <v>3</v>
      </c>
      <c r="R1055" s="148">
        <v>1</v>
      </c>
      <c r="S1055" s="150">
        <f t="shared" si="462"/>
        <v>4</v>
      </c>
      <c r="T1055" s="149" t="str">
        <f>T1054</f>
        <v>Hrs</v>
      </c>
    </row>
    <row r="1056" spans="3:20" ht="20.25" customHeight="1">
      <c r="C1056" s="96">
        <f>D1056</f>
        <v>1056</v>
      </c>
      <c r="D1056" s="102">
        <f t="shared" si="438"/>
        <v>1056</v>
      </c>
      <c r="E1056" s="103" t="s">
        <v>433</v>
      </c>
      <c r="F1056" s="108">
        <f>D1049</f>
        <v>1049</v>
      </c>
      <c r="G1056" s="105"/>
      <c r="H1056" s="105"/>
      <c r="I1056" s="104"/>
      <c r="J1056" s="104"/>
      <c r="K1056" s="118"/>
      <c r="L1056" s="118"/>
      <c r="M1056" s="119"/>
      <c r="N1056" s="104"/>
      <c r="O1056" s="120"/>
      <c r="P1056" s="104"/>
      <c r="Q1056" s="150"/>
      <c r="R1056" s="148"/>
      <c r="S1056" s="150"/>
      <c r="T1056" s="149"/>
    </row>
    <row r="1057" spans="3:20" ht="20.25" customHeight="1">
      <c r="C1057" s="96"/>
      <c r="D1057" s="102">
        <f t="shared" si="438"/>
        <v>1057</v>
      </c>
      <c r="E1057" s="106" t="s">
        <v>434</v>
      </c>
      <c r="F1057" s="108">
        <f t="shared" ref="F1057" si="465">D1056</f>
        <v>1056</v>
      </c>
      <c r="G1057" s="105" t="s">
        <v>312</v>
      </c>
      <c r="H1057" s="105"/>
      <c r="I1057" s="104">
        <v>18</v>
      </c>
      <c r="J1057" s="108" t="str">
        <f>J1055</f>
        <v>831 mm</v>
      </c>
      <c r="K1057" s="118">
        <v>1</v>
      </c>
      <c r="L1057" s="141" t="s">
        <v>39</v>
      </c>
      <c r="M1057" s="119">
        <v>1</v>
      </c>
      <c r="N1057" s="132" t="s">
        <v>39</v>
      </c>
      <c r="O1057" s="120">
        <v>1</v>
      </c>
      <c r="P1057" s="104" t="s">
        <v>435</v>
      </c>
      <c r="Q1057" s="150">
        <f t="shared" ref="Q1057" si="466">M1057*O1057</f>
        <v>1</v>
      </c>
      <c r="R1057" s="148"/>
      <c r="S1057" s="150">
        <f t="shared" ref="S1057" si="467">Q1057+R1057</f>
        <v>1</v>
      </c>
      <c r="T1057" s="152" t="s">
        <v>41</v>
      </c>
    </row>
    <row r="1058" spans="3:20" ht="20.25" customHeight="1">
      <c r="C1058" s="96">
        <f>D1058</f>
        <v>1058</v>
      </c>
      <c r="D1058" s="102">
        <f t="shared" si="438"/>
        <v>1058</v>
      </c>
      <c r="E1058" s="103" t="s">
        <v>436</v>
      </c>
      <c r="F1058" s="108">
        <f>D1056</f>
        <v>1056</v>
      </c>
      <c r="G1058" s="105"/>
      <c r="H1058" s="105"/>
      <c r="I1058" s="104"/>
      <c r="J1058" s="104"/>
      <c r="K1058" s="118"/>
      <c r="L1058" s="118"/>
      <c r="M1058" s="119"/>
      <c r="N1058" s="104"/>
      <c r="O1058" s="120"/>
      <c r="P1058" s="104"/>
      <c r="Q1058" s="150"/>
      <c r="R1058" s="148"/>
      <c r="S1058" s="150"/>
      <c r="T1058" s="149"/>
    </row>
    <row r="1059" spans="3:20" ht="20.25" customHeight="1">
      <c r="C1059" s="96"/>
      <c r="D1059" s="102">
        <f t="shared" si="438"/>
        <v>1059</v>
      </c>
      <c r="E1059" s="106" t="s">
        <v>437</v>
      </c>
      <c r="F1059" s="108">
        <f t="shared" ref="F1059:F1061" si="468">D1058</f>
        <v>1058</v>
      </c>
      <c r="G1059" s="105" t="s">
        <v>348</v>
      </c>
      <c r="H1059" s="105"/>
      <c r="I1059" s="108">
        <f>I1057</f>
        <v>18</v>
      </c>
      <c r="J1059" s="112" t="s">
        <v>317</v>
      </c>
      <c r="K1059" s="118">
        <v>1</v>
      </c>
      <c r="L1059" s="118" t="s">
        <v>81</v>
      </c>
      <c r="M1059" s="128">
        <f>LEFT(J1059,SEARCH(" ",J1059,1)-1)*K1059*3.142*0.001*2</f>
        <v>9.8030399999999993</v>
      </c>
      <c r="N1059" s="104" t="s">
        <v>139</v>
      </c>
      <c r="O1059" s="162">
        <f>VLOOKUP(I1059,BM!$B$3:$Y$62,13,FALSE)</f>
        <v>0.45</v>
      </c>
      <c r="P1059" s="104" t="s">
        <v>112</v>
      </c>
      <c r="Q1059" s="150">
        <f t="shared" ref="Q1059:Q1061" si="469">M1059*O1059</f>
        <v>4.4113679999999995</v>
      </c>
      <c r="R1059" s="148">
        <v>1</v>
      </c>
      <c r="S1059" s="150">
        <f t="shared" ref="S1059:S1061" si="470">Q1059+R1059</f>
        <v>5.4113679999999995</v>
      </c>
      <c r="T1059" s="152" t="s">
        <v>162</v>
      </c>
    </row>
    <row r="1060" spans="3:20" ht="20.25" customHeight="1">
      <c r="C1060" s="96"/>
      <c r="D1060" s="102">
        <f t="shared" si="438"/>
        <v>1060</v>
      </c>
      <c r="E1060" s="106" t="s">
        <v>438</v>
      </c>
      <c r="F1060" s="108">
        <f t="shared" si="468"/>
        <v>1059</v>
      </c>
      <c r="G1060" s="105" t="s">
        <v>111</v>
      </c>
      <c r="H1060" s="105"/>
      <c r="I1060" s="104">
        <v>18</v>
      </c>
      <c r="J1060" s="104" t="str">
        <f>J1059</f>
        <v>1560 mm id</v>
      </c>
      <c r="K1060" s="118">
        <v>1</v>
      </c>
      <c r="L1060" s="118" t="s">
        <v>81</v>
      </c>
      <c r="M1060" s="128">
        <f>LEFT(J1060,SEARCH(" ",J1060,1)-1)*K1060*3.142*0.001</f>
        <v>4.9015199999999997</v>
      </c>
      <c r="N1060" s="104" t="s">
        <v>139</v>
      </c>
      <c r="O1060" s="162">
        <f>VLOOKUP(I1060,BM!$B$3:$Y$62,16,FALSE)</f>
        <v>1</v>
      </c>
      <c r="P1060" s="104" t="s">
        <v>112</v>
      </c>
      <c r="Q1060" s="150">
        <f t="shared" si="469"/>
        <v>4.9015199999999997</v>
      </c>
      <c r="R1060" s="148">
        <v>1</v>
      </c>
      <c r="S1060" s="150">
        <f t="shared" si="470"/>
        <v>5.9015199999999997</v>
      </c>
      <c r="T1060" s="152" t="s">
        <v>162</v>
      </c>
    </row>
    <row r="1061" spans="3:20" ht="20.25" customHeight="1">
      <c r="C1061" s="96"/>
      <c r="D1061" s="102">
        <f t="shared" si="438"/>
        <v>1061</v>
      </c>
      <c r="E1061" s="106" t="s">
        <v>439</v>
      </c>
      <c r="F1061" s="108">
        <f t="shared" si="468"/>
        <v>1060</v>
      </c>
      <c r="G1061" s="105" t="s">
        <v>44</v>
      </c>
      <c r="H1061" s="105"/>
      <c r="I1061" s="104">
        <v>18</v>
      </c>
      <c r="J1061" s="104" t="str">
        <f>J1060</f>
        <v>1560 mm id</v>
      </c>
      <c r="K1061" s="118">
        <v>1</v>
      </c>
      <c r="L1061" s="118" t="s">
        <v>81</v>
      </c>
      <c r="M1061" s="119">
        <v>1</v>
      </c>
      <c r="N1061" s="104" t="s">
        <v>139</v>
      </c>
      <c r="O1061" s="120">
        <v>4</v>
      </c>
      <c r="P1061" s="104" t="s">
        <v>112</v>
      </c>
      <c r="Q1061" s="150">
        <f t="shared" si="469"/>
        <v>4</v>
      </c>
      <c r="R1061" s="148">
        <v>1</v>
      </c>
      <c r="S1061" s="150">
        <f t="shared" si="470"/>
        <v>5</v>
      </c>
      <c r="T1061" s="152" t="s">
        <v>162</v>
      </c>
    </row>
    <row r="1062" spans="3:20" ht="20.25" customHeight="1">
      <c r="C1062" s="96">
        <f>D1062</f>
        <v>1062</v>
      </c>
      <c r="D1062" s="102">
        <f t="shared" si="438"/>
        <v>1062</v>
      </c>
      <c r="E1062" s="103" t="s">
        <v>440</v>
      </c>
      <c r="F1062" s="108">
        <f>D1058</f>
        <v>1058</v>
      </c>
      <c r="G1062" s="105"/>
      <c r="H1062" s="105"/>
      <c r="I1062" s="104"/>
      <c r="J1062" s="104"/>
      <c r="K1062" s="118"/>
      <c r="L1062" s="118"/>
      <c r="M1062" s="119"/>
      <c r="N1062" s="104"/>
      <c r="O1062" s="120"/>
      <c r="P1062" s="104"/>
      <c r="Q1062" s="150"/>
      <c r="R1062" s="148"/>
      <c r="S1062" s="150"/>
      <c r="T1062" s="149"/>
    </row>
    <row r="1063" spans="3:20" ht="20.25" customHeight="1">
      <c r="C1063" s="96"/>
      <c r="D1063" s="102">
        <f t="shared" si="438"/>
        <v>1063</v>
      </c>
      <c r="E1063" s="106" t="s">
        <v>441</v>
      </c>
      <c r="F1063" s="108">
        <f t="shared" ref="F1063:F1067" si="471">D1062</f>
        <v>1062</v>
      </c>
      <c r="G1063" s="105" t="s">
        <v>201</v>
      </c>
      <c r="H1063" s="105"/>
      <c r="I1063" s="104">
        <v>18</v>
      </c>
      <c r="J1063" s="104" t="str">
        <f>J1061</f>
        <v>1560 mm id</v>
      </c>
      <c r="K1063" s="118">
        <v>1</v>
      </c>
      <c r="L1063" s="118" t="s">
        <v>81</v>
      </c>
      <c r="M1063" s="119">
        <v>1</v>
      </c>
      <c r="N1063" s="132" t="s">
        <v>39</v>
      </c>
      <c r="O1063" s="120">
        <v>1</v>
      </c>
      <c r="P1063" s="104" t="s">
        <v>112</v>
      </c>
      <c r="Q1063" s="150">
        <f t="shared" ref="Q1063:Q1067" si="472">M1063*O1063</f>
        <v>1</v>
      </c>
      <c r="R1063" s="148">
        <v>1</v>
      </c>
      <c r="S1063" s="150">
        <f t="shared" ref="S1063:S1067" si="473">Q1063+R1063</f>
        <v>2</v>
      </c>
      <c r="T1063" s="152" t="s">
        <v>162</v>
      </c>
    </row>
    <row r="1064" spans="3:20" ht="20.25" customHeight="1">
      <c r="C1064" s="96"/>
      <c r="D1064" s="102">
        <f t="shared" si="438"/>
        <v>1064</v>
      </c>
      <c r="E1064" s="106" t="s">
        <v>442</v>
      </c>
      <c r="F1064" s="108">
        <f t="shared" si="471"/>
        <v>1063</v>
      </c>
      <c r="G1064" s="105" t="s">
        <v>115</v>
      </c>
      <c r="H1064" s="105"/>
      <c r="I1064" s="104">
        <v>12</v>
      </c>
      <c r="J1064" s="104" t="str">
        <f>J1063</f>
        <v>1560 mm id</v>
      </c>
      <c r="K1064" s="118">
        <v>1</v>
      </c>
      <c r="L1064" s="118" t="s">
        <v>81</v>
      </c>
      <c r="M1064" s="128">
        <f t="shared" ref="M1064:M1067" si="474">LEFT(J1064,SEARCH(" ",J1064,1)-1)*K1064*3.142*0.001</f>
        <v>4.9015199999999997</v>
      </c>
      <c r="N1064" s="104" t="s">
        <v>249</v>
      </c>
      <c r="O1064" s="162">
        <f>VLOOKUP(I1064,BM!$B$3:$Y$62,17,FALSE)</f>
        <v>2.5</v>
      </c>
      <c r="P1064" s="104" t="s">
        <v>112</v>
      </c>
      <c r="Q1064" s="150">
        <f t="shared" si="472"/>
        <v>12.253799999999998</v>
      </c>
      <c r="R1064" s="148">
        <v>1</v>
      </c>
      <c r="S1064" s="150">
        <f t="shared" si="473"/>
        <v>13.253799999999998</v>
      </c>
      <c r="T1064" s="152" t="s">
        <v>112</v>
      </c>
    </row>
    <row r="1065" spans="3:20" ht="20.25" customHeight="1">
      <c r="C1065" s="96"/>
      <c r="D1065" s="102">
        <f t="shared" si="438"/>
        <v>1065</v>
      </c>
      <c r="E1065" s="106" t="s">
        <v>443</v>
      </c>
      <c r="F1065" s="108">
        <f t="shared" si="471"/>
        <v>1064</v>
      </c>
      <c r="G1065" s="105" t="s">
        <v>61</v>
      </c>
      <c r="H1065" s="105"/>
      <c r="I1065" s="104">
        <v>18</v>
      </c>
      <c r="J1065" s="104" t="str">
        <f>J1064</f>
        <v>1560 mm id</v>
      </c>
      <c r="K1065" s="118">
        <v>1</v>
      </c>
      <c r="L1065" s="118" t="s">
        <v>81</v>
      </c>
      <c r="M1065" s="128">
        <f t="shared" si="474"/>
        <v>4.9015199999999997</v>
      </c>
      <c r="N1065" s="104" t="s">
        <v>249</v>
      </c>
      <c r="O1065" s="162">
        <f>VLOOKUP(I1065,BM!$B$3:$Y$62,18,FALSE)</f>
        <v>1</v>
      </c>
      <c r="P1065" s="104" t="s">
        <v>112</v>
      </c>
      <c r="Q1065" s="150">
        <f t="shared" si="472"/>
        <v>4.9015199999999997</v>
      </c>
      <c r="R1065" s="148">
        <v>1</v>
      </c>
      <c r="S1065" s="150">
        <f t="shared" si="473"/>
        <v>5.9015199999999997</v>
      </c>
      <c r="T1065" s="152" t="s">
        <v>112</v>
      </c>
    </row>
    <row r="1066" spans="3:20" ht="20.25" customHeight="1">
      <c r="C1066" s="96"/>
      <c r="D1066" s="102">
        <f t="shared" si="438"/>
        <v>1066</v>
      </c>
      <c r="E1066" s="106" t="s">
        <v>444</v>
      </c>
      <c r="F1066" s="108">
        <f t="shared" si="471"/>
        <v>1065</v>
      </c>
      <c r="G1066" s="105" t="s">
        <v>115</v>
      </c>
      <c r="H1066" s="105"/>
      <c r="I1066" s="104">
        <v>8</v>
      </c>
      <c r="J1066" s="104" t="str">
        <f>J1065</f>
        <v>1560 mm id</v>
      </c>
      <c r="K1066" s="118">
        <v>1</v>
      </c>
      <c r="L1066" s="118" t="s">
        <v>81</v>
      </c>
      <c r="M1066" s="128">
        <f t="shared" si="474"/>
        <v>4.9015199999999997</v>
      </c>
      <c r="N1066" s="104" t="s">
        <v>249</v>
      </c>
      <c r="O1066" s="162">
        <f>VLOOKUP(I1066,BM!$B$3:$Y$62,17,FALSE)</f>
        <v>1.36</v>
      </c>
      <c r="P1066" s="104" t="s">
        <v>112</v>
      </c>
      <c r="Q1066" s="150">
        <f t="shared" si="472"/>
        <v>6.6660671999999996</v>
      </c>
      <c r="R1066" s="148">
        <v>1</v>
      </c>
      <c r="S1066" s="150">
        <f t="shared" si="473"/>
        <v>7.6660671999999996</v>
      </c>
      <c r="T1066" s="152" t="s">
        <v>112</v>
      </c>
    </row>
    <row r="1067" spans="3:20" ht="20.25" customHeight="1">
      <c r="C1067" s="96"/>
      <c r="D1067" s="102">
        <f t="shared" si="438"/>
        <v>1067</v>
      </c>
      <c r="E1067" s="106" t="s">
        <v>445</v>
      </c>
      <c r="F1067" s="108">
        <f t="shared" si="471"/>
        <v>1066</v>
      </c>
      <c r="G1067" s="105" t="s">
        <v>61</v>
      </c>
      <c r="H1067" s="105"/>
      <c r="I1067" s="104">
        <v>18</v>
      </c>
      <c r="J1067" s="104" t="str">
        <f>J1066</f>
        <v>1560 mm id</v>
      </c>
      <c r="K1067" s="118">
        <v>1</v>
      </c>
      <c r="L1067" s="118" t="s">
        <v>81</v>
      </c>
      <c r="M1067" s="128">
        <f t="shared" si="474"/>
        <v>4.9015199999999997</v>
      </c>
      <c r="N1067" s="104" t="s">
        <v>249</v>
      </c>
      <c r="O1067" s="162">
        <f>VLOOKUP(I1067,BM!$B$3:$Y$62,20,FALSE)</f>
        <v>0.5</v>
      </c>
      <c r="P1067" s="104" t="s">
        <v>112</v>
      </c>
      <c r="Q1067" s="150">
        <f t="shared" si="472"/>
        <v>2.4507599999999998</v>
      </c>
      <c r="R1067" s="148">
        <v>1</v>
      </c>
      <c r="S1067" s="150">
        <f t="shared" si="473"/>
        <v>3.4507599999999998</v>
      </c>
      <c r="T1067" s="152" t="s">
        <v>112</v>
      </c>
    </row>
    <row r="1068" spans="3:20" ht="20.25" customHeight="1">
      <c r="C1068" s="96">
        <f>D1068</f>
        <v>1068</v>
      </c>
      <c r="D1068" s="102">
        <f t="shared" si="438"/>
        <v>1068</v>
      </c>
      <c r="E1068" s="103" t="s">
        <v>446</v>
      </c>
      <c r="F1068" s="108">
        <f>D1062</f>
        <v>1062</v>
      </c>
      <c r="G1068" s="105"/>
      <c r="H1068" s="105"/>
      <c r="I1068" s="104"/>
      <c r="J1068" s="104"/>
      <c r="K1068" s="118"/>
      <c r="L1068" s="118"/>
      <c r="M1068" s="119"/>
      <c r="N1068" s="104"/>
      <c r="O1068" s="120"/>
      <c r="P1068" s="104"/>
      <c r="Q1068" s="150"/>
      <c r="R1068" s="148"/>
      <c r="S1068" s="150"/>
      <c r="T1068" s="149"/>
    </row>
    <row r="1069" spans="3:20" ht="20.25" customHeight="1">
      <c r="C1069" s="96"/>
      <c r="D1069" s="102">
        <f t="shared" si="438"/>
        <v>1069</v>
      </c>
      <c r="E1069" s="106" t="s">
        <v>447</v>
      </c>
      <c r="F1069" s="108">
        <f t="shared" ref="F1069:F1072" si="475">D1068</f>
        <v>1068</v>
      </c>
      <c r="G1069" s="105" t="s">
        <v>52</v>
      </c>
      <c r="H1069" s="105"/>
      <c r="I1069" s="104">
        <f>I1063</f>
        <v>18</v>
      </c>
      <c r="J1069" s="104" t="str">
        <f>J1067</f>
        <v>1560 mm id</v>
      </c>
      <c r="K1069" s="118">
        <v>1</v>
      </c>
      <c r="L1069" s="118" t="s">
        <v>81</v>
      </c>
      <c r="M1069" s="128">
        <f t="shared" ref="M1069:M1072" si="476">LEFT(J1069,SEARCH(" ",J1069,1)-1)*K1069*3.142*0.001</f>
        <v>4.9015199999999997</v>
      </c>
      <c r="N1069" s="104" t="s">
        <v>139</v>
      </c>
      <c r="O1069" s="162">
        <f>VLOOKUP(I1069,BM!$B$3:$Y$62,14,FALSE)</f>
        <v>0.5</v>
      </c>
      <c r="P1069" s="104" t="s">
        <v>112</v>
      </c>
      <c r="Q1069" s="150">
        <f t="shared" ref="Q1069:Q1072" si="477">M1069*O1069</f>
        <v>2.4507599999999998</v>
      </c>
      <c r="R1069" s="148">
        <v>1</v>
      </c>
      <c r="S1069" s="150">
        <f t="shared" ref="S1069:S1072" si="478">Q1069+R1069</f>
        <v>3.4507599999999998</v>
      </c>
      <c r="T1069" s="152" t="s">
        <v>112</v>
      </c>
    </row>
    <row r="1070" spans="3:20" ht="20.25" customHeight="1">
      <c r="C1070" s="96"/>
      <c r="D1070" s="102">
        <f t="shared" si="438"/>
        <v>1070</v>
      </c>
      <c r="E1070" s="106" t="s">
        <v>437</v>
      </c>
      <c r="F1070" s="108">
        <f t="shared" si="475"/>
        <v>1069</v>
      </c>
      <c r="G1070" s="105" t="s">
        <v>44</v>
      </c>
      <c r="H1070" s="105"/>
      <c r="I1070" s="104">
        <f>I1064</f>
        <v>12</v>
      </c>
      <c r="J1070" s="104" t="str">
        <f>J1069</f>
        <v>1560 mm id</v>
      </c>
      <c r="K1070" s="118">
        <v>1</v>
      </c>
      <c r="L1070" s="118" t="s">
        <v>81</v>
      </c>
      <c r="M1070" s="128">
        <f t="shared" si="476"/>
        <v>4.9015199999999997</v>
      </c>
      <c r="N1070" s="104" t="s">
        <v>139</v>
      </c>
      <c r="O1070" s="162">
        <f>VLOOKUP(I1070,BM!$B$3:$Y$62,15,FALSE)</f>
        <v>1</v>
      </c>
      <c r="P1070" s="104" t="s">
        <v>112</v>
      </c>
      <c r="Q1070" s="150">
        <f t="shared" si="477"/>
        <v>4.9015199999999997</v>
      </c>
      <c r="R1070" s="148">
        <v>1</v>
      </c>
      <c r="S1070" s="150">
        <f t="shared" si="478"/>
        <v>5.9015199999999997</v>
      </c>
      <c r="T1070" s="152" t="s">
        <v>112</v>
      </c>
    </row>
    <row r="1071" spans="3:20" ht="20.25" customHeight="1">
      <c r="C1071" s="96"/>
      <c r="D1071" s="102">
        <f t="shared" si="438"/>
        <v>1071</v>
      </c>
      <c r="E1071" s="106" t="s">
        <v>448</v>
      </c>
      <c r="F1071" s="108">
        <f t="shared" si="475"/>
        <v>1070</v>
      </c>
      <c r="G1071" s="105" t="s">
        <v>111</v>
      </c>
      <c r="H1071" s="105"/>
      <c r="I1071" s="104">
        <f>I1066</f>
        <v>8</v>
      </c>
      <c r="J1071" s="104" t="str">
        <f>J1070</f>
        <v>1560 mm id</v>
      </c>
      <c r="K1071" s="118">
        <v>1</v>
      </c>
      <c r="L1071" s="118" t="s">
        <v>81</v>
      </c>
      <c r="M1071" s="128">
        <f t="shared" si="476"/>
        <v>4.9015199999999997</v>
      </c>
      <c r="N1071" s="104" t="s">
        <v>139</v>
      </c>
      <c r="O1071" s="120">
        <v>4</v>
      </c>
      <c r="P1071" s="104" t="s">
        <v>112</v>
      </c>
      <c r="Q1071" s="150">
        <f t="shared" si="477"/>
        <v>19.606079999999999</v>
      </c>
      <c r="R1071" s="148">
        <v>1</v>
      </c>
      <c r="S1071" s="150">
        <f t="shared" si="478"/>
        <v>20.606079999999999</v>
      </c>
      <c r="T1071" s="152" t="s">
        <v>112</v>
      </c>
    </row>
    <row r="1072" spans="3:20" ht="20.25" customHeight="1">
      <c r="C1072" s="96"/>
      <c r="D1072" s="102">
        <f t="shared" si="438"/>
        <v>1072</v>
      </c>
      <c r="E1072" s="106" t="s">
        <v>439</v>
      </c>
      <c r="F1072" s="108">
        <f t="shared" si="475"/>
        <v>1071</v>
      </c>
      <c r="G1072" s="105" t="s">
        <v>63</v>
      </c>
      <c r="H1072" s="105"/>
      <c r="I1072" s="104">
        <v>18</v>
      </c>
      <c r="J1072" s="104" t="str">
        <f>J1071</f>
        <v>1560 mm id</v>
      </c>
      <c r="K1072" s="118">
        <v>1</v>
      </c>
      <c r="L1072" s="118" t="s">
        <v>81</v>
      </c>
      <c r="M1072" s="128">
        <f t="shared" si="476"/>
        <v>4.9015199999999997</v>
      </c>
      <c r="N1072" s="104" t="s">
        <v>139</v>
      </c>
      <c r="O1072" s="120">
        <v>0.5</v>
      </c>
      <c r="P1072" s="104" t="s">
        <v>112</v>
      </c>
      <c r="Q1072" s="150">
        <f t="shared" si="477"/>
        <v>2.4507599999999998</v>
      </c>
      <c r="R1072" s="148">
        <v>1</v>
      </c>
      <c r="S1072" s="150">
        <f t="shared" si="478"/>
        <v>3.4507599999999998</v>
      </c>
      <c r="T1072" s="152" t="s">
        <v>112</v>
      </c>
    </row>
    <row r="1073" spans="3:20" ht="20.25" customHeight="1">
      <c r="C1073" s="96">
        <f>D1073</f>
        <v>1073</v>
      </c>
      <c r="D1073" s="102">
        <f t="shared" si="438"/>
        <v>1073</v>
      </c>
      <c r="E1073" s="103" t="s">
        <v>449</v>
      </c>
      <c r="F1073" s="108">
        <f>D1068</f>
        <v>1068</v>
      </c>
      <c r="G1073" s="104"/>
      <c r="H1073" s="104"/>
      <c r="I1073" s="104"/>
      <c r="J1073" s="104"/>
      <c r="K1073" s="118"/>
      <c r="L1073" s="118"/>
      <c r="M1073" s="119"/>
      <c r="N1073" s="104"/>
      <c r="O1073" s="120"/>
      <c r="P1073" s="104"/>
      <c r="Q1073" s="150"/>
      <c r="R1073" s="148"/>
      <c r="S1073" s="150"/>
      <c r="T1073" s="149"/>
    </row>
    <row r="1074" spans="3:20" ht="20.25" customHeight="1">
      <c r="C1074" s="96"/>
      <c r="D1074" s="102">
        <f t="shared" si="438"/>
        <v>1074</v>
      </c>
      <c r="E1074" s="106" t="s">
        <v>450</v>
      </c>
      <c r="F1074" s="108">
        <f t="shared" ref="F1074:F1078" si="479">D1073</f>
        <v>1073</v>
      </c>
      <c r="G1074" s="105" t="s">
        <v>201</v>
      </c>
      <c r="H1074" s="105"/>
      <c r="I1074" s="104">
        <v>12</v>
      </c>
      <c r="J1074" s="104" t="str">
        <f>J1072</f>
        <v>1560 mm id</v>
      </c>
      <c r="K1074" s="118">
        <v>1</v>
      </c>
      <c r="L1074" s="118" t="s">
        <v>81</v>
      </c>
      <c r="M1074" s="119">
        <v>1</v>
      </c>
      <c r="N1074" s="104" t="s">
        <v>249</v>
      </c>
      <c r="O1074" s="120">
        <v>1</v>
      </c>
      <c r="P1074" s="104" t="s">
        <v>112</v>
      </c>
      <c r="Q1074" s="150">
        <f t="shared" ref="Q1074:Q1078" si="480">M1074*O1074</f>
        <v>1</v>
      </c>
      <c r="R1074" s="148">
        <v>1</v>
      </c>
      <c r="S1074" s="150">
        <f t="shared" ref="S1074:S1078" si="481">Q1074+R1074</f>
        <v>2</v>
      </c>
      <c r="T1074" s="152" t="s">
        <v>112</v>
      </c>
    </row>
    <row r="1075" spans="3:20" ht="20.25" customHeight="1">
      <c r="C1075" s="96"/>
      <c r="D1075" s="102">
        <f t="shared" si="438"/>
        <v>1075</v>
      </c>
      <c r="E1075" s="106" t="s">
        <v>451</v>
      </c>
      <c r="F1075" s="108">
        <f t="shared" si="479"/>
        <v>1074</v>
      </c>
      <c r="G1075" s="105" t="s">
        <v>115</v>
      </c>
      <c r="H1075" s="105"/>
      <c r="I1075" s="104">
        <v>12</v>
      </c>
      <c r="J1075" s="104" t="str">
        <f>J1074</f>
        <v>1560 mm id</v>
      </c>
      <c r="K1075" s="118">
        <v>1</v>
      </c>
      <c r="L1075" s="118" t="s">
        <v>81</v>
      </c>
      <c r="M1075" s="128">
        <f t="shared" ref="M1075:M1078" si="482">LEFT(J1075,SEARCH(" ",J1075,1)-1)*K1075*3.142*0.001</f>
        <v>4.9015199999999997</v>
      </c>
      <c r="N1075" s="104" t="s">
        <v>249</v>
      </c>
      <c r="O1075" s="162">
        <f>VLOOKUP(I1075,BM!$B$3:$Y$62,17,FALSE)</f>
        <v>2.5</v>
      </c>
      <c r="P1075" s="104" t="s">
        <v>112</v>
      </c>
      <c r="Q1075" s="150">
        <f t="shared" si="480"/>
        <v>12.253799999999998</v>
      </c>
      <c r="R1075" s="148">
        <v>1</v>
      </c>
      <c r="S1075" s="150">
        <f t="shared" si="481"/>
        <v>13.253799999999998</v>
      </c>
      <c r="T1075" s="152" t="s">
        <v>112</v>
      </c>
    </row>
    <row r="1076" spans="3:20" ht="20.25" customHeight="1">
      <c r="C1076" s="96"/>
      <c r="D1076" s="102">
        <f t="shared" si="438"/>
        <v>1076</v>
      </c>
      <c r="E1076" s="106" t="s">
        <v>452</v>
      </c>
      <c r="F1076" s="108">
        <f t="shared" si="479"/>
        <v>1075</v>
      </c>
      <c r="G1076" s="105" t="s">
        <v>61</v>
      </c>
      <c r="H1076" s="105"/>
      <c r="I1076" s="104">
        <v>18</v>
      </c>
      <c r="J1076" s="104" t="str">
        <f>J1075</f>
        <v>1560 mm id</v>
      </c>
      <c r="K1076" s="118">
        <v>1</v>
      </c>
      <c r="L1076" s="118" t="s">
        <v>81</v>
      </c>
      <c r="M1076" s="128">
        <f t="shared" si="482"/>
        <v>4.9015199999999997</v>
      </c>
      <c r="N1076" s="104" t="s">
        <v>249</v>
      </c>
      <c r="O1076" s="162">
        <f>VLOOKUP(I1076,BM!$B$3:$Y$62,18,FALSE)</f>
        <v>1</v>
      </c>
      <c r="P1076" s="104" t="s">
        <v>112</v>
      </c>
      <c r="Q1076" s="150">
        <f t="shared" si="480"/>
        <v>4.9015199999999997</v>
      </c>
      <c r="R1076" s="148">
        <v>1</v>
      </c>
      <c r="S1076" s="150">
        <f t="shared" si="481"/>
        <v>5.9015199999999997</v>
      </c>
      <c r="T1076" s="152" t="s">
        <v>112</v>
      </c>
    </row>
    <row r="1077" spans="3:20" ht="20.25" customHeight="1">
      <c r="C1077" s="96"/>
      <c r="D1077" s="102">
        <f t="shared" si="438"/>
        <v>1077</v>
      </c>
      <c r="E1077" s="106" t="s">
        <v>453</v>
      </c>
      <c r="F1077" s="108">
        <f t="shared" si="479"/>
        <v>1076</v>
      </c>
      <c r="G1077" s="105" t="s">
        <v>115</v>
      </c>
      <c r="H1077" s="105"/>
      <c r="I1077" s="104">
        <v>6</v>
      </c>
      <c r="J1077" s="104" t="str">
        <f>J1076</f>
        <v>1560 mm id</v>
      </c>
      <c r="K1077" s="118">
        <v>1</v>
      </c>
      <c r="L1077" s="118" t="s">
        <v>81</v>
      </c>
      <c r="M1077" s="128">
        <f t="shared" si="482"/>
        <v>4.9015199999999997</v>
      </c>
      <c r="N1077" s="104" t="s">
        <v>249</v>
      </c>
      <c r="O1077" s="162">
        <f>VLOOKUP(I1077,BM!$B$3:$Y$62,17,FALSE)</f>
        <v>0.9</v>
      </c>
      <c r="P1077" s="104" t="s">
        <v>112</v>
      </c>
      <c r="Q1077" s="150">
        <f t="shared" si="480"/>
        <v>4.4113679999999995</v>
      </c>
      <c r="R1077" s="148">
        <v>1</v>
      </c>
      <c r="S1077" s="150">
        <f t="shared" si="481"/>
        <v>5.4113679999999995</v>
      </c>
      <c r="T1077" s="152" t="s">
        <v>112</v>
      </c>
    </row>
    <row r="1078" spans="3:20" ht="20.25" customHeight="1">
      <c r="C1078" s="96"/>
      <c r="D1078" s="102">
        <f t="shared" si="438"/>
        <v>1078</v>
      </c>
      <c r="E1078" s="106" t="s">
        <v>454</v>
      </c>
      <c r="F1078" s="108">
        <f t="shared" si="479"/>
        <v>1077</v>
      </c>
      <c r="G1078" s="105" t="s">
        <v>61</v>
      </c>
      <c r="H1078" s="105"/>
      <c r="I1078" s="104">
        <v>18</v>
      </c>
      <c r="J1078" s="104" t="str">
        <f>J1077</f>
        <v>1560 mm id</v>
      </c>
      <c r="K1078" s="118">
        <v>1</v>
      </c>
      <c r="L1078" s="118" t="s">
        <v>81</v>
      </c>
      <c r="M1078" s="128">
        <f t="shared" si="482"/>
        <v>4.9015199999999997</v>
      </c>
      <c r="N1078" s="104" t="s">
        <v>249</v>
      </c>
      <c r="O1078" s="162">
        <f>VLOOKUP(I1078,BM!$B$3:$Y$62,20,FALSE)</f>
        <v>0.5</v>
      </c>
      <c r="P1078" s="104" t="s">
        <v>112</v>
      </c>
      <c r="Q1078" s="150">
        <f t="shared" si="480"/>
        <v>2.4507599999999998</v>
      </c>
      <c r="R1078" s="148">
        <v>1</v>
      </c>
      <c r="S1078" s="150">
        <f t="shared" si="481"/>
        <v>3.4507599999999998</v>
      </c>
      <c r="T1078" s="152" t="s">
        <v>112</v>
      </c>
    </row>
    <row r="1079" spans="3:20" ht="20.25" customHeight="1">
      <c r="C1079" s="96">
        <f>D1079</f>
        <v>1079</v>
      </c>
      <c r="D1079" s="102">
        <f t="shared" si="438"/>
        <v>1079</v>
      </c>
      <c r="E1079" s="103" t="s">
        <v>455</v>
      </c>
      <c r="F1079" s="108">
        <f>D1073</f>
        <v>1073</v>
      </c>
      <c r="G1079" s="105"/>
      <c r="H1079" s="105"/>
      <c r="I1079" s="104"/>
      <c r="J1079" s="104"/>
      <c r="K1079" s="118"/>
      <c r="L1079" s="118"/>
      <c r="M1079" s="119"/>
      <c r="N1079" s="104"/>
      <c r="O1079" s="120"/>
      <c r="P1079" s="104"/>
      <c r="Q1079" s="150"/>
      <c r="R1079" s="148"/>
      <c r="S1079" s="150"/>
      <c r="T1079" s="149"/>
    </row>
    <row r="1080" spans="3:20" ht="20.25" customHeight="1">
      <c r="C1080" s="96"/>
      <c r="D1080" s="102">
        <f t="shared" si="438"/>
        <v>1080</v>
      </c>
      <c r="E1080" s="106" t="s">
        <v>456</v>
      </c>
      <c r="F1080" s="108">
        <f t="shared" ref="F1080" si="483">D1079</f>
        <v>1079</v>
      </c>
      <c r="G1080" s="105" t="s">
        <v>312</v>
      </c>
      <c r="H1080" s="105"/>
      <c r="I1080" s="104">
        <v>18</v>
      </c>
      <c r="J1080" s="104" t="str">
        <f>J1078</f>
        <v>1560 mm id</v>
      </c>
      <c r="K1080" s="118">
        <v>1</v>
      </c>
      <c r="L1080" s="118" t="s">
        <v>39</v>
      </c>
      <c r="M1080" s="119">
        <v>1</v>
      </c>
      <c r="N1080" s="104" t="s">
        <v>457</v>
      </c>
      <c r="O1080" s="120">
        <v>1</v>
      </c>
      <c r="P1080" s="104" t="s">
        <v>41</v>
      </c>
      <c r="Q1080" s="150">
        <f t="shared" ref="Q1080" si="484">M1080*O1080</f>
        <v>1</v>
      </c>
      <c r="R1080" s="148"/>
      <c r="S1080" s="150">
        <f t="shared" ref="S1080" si="485">Q1080+R1080</f>
        <v>1</v>
      </c>
      <c r="T1080" s="152" t="s">
        <v>41</v>
      </c>
    </row>
    <row r="1081" spans="3:20" ht="20.25" customHeight="1">
      <c r="C1081" s="96">
        <f>D1081</f>
        <v>1081</v>
      </c>
      <c r="D1081" s="102">
        <f t="shared" si="438"/>
        <v>1081</v>
      </c>
      <c r="E1081" s="103" t="s">
        <v>768</v>
      </c>
      <c r="F1081" s="108">
        <f>D1079</f>
        <v>1079</v>
      </c>
      <c r="G1081" s="105"/>
      <c r="H1081" s="105"/>
      <c r="I1081" s="104"/>
      <c r="J1081" s="104"/>
      <c r="K1081" s="118"/>
      <c r="L1081" s="118"/>
      <c r="M1081" s="119"/>
      <c r="N1081" s="104"/>
      <c r="O1081" s="120"/>
      <c r="P1081" s="104"/>
      <c r="Q1081" s="150"/>
      <c r="R1081" s="148"/>
      <c r="S1081" s="150"/>
      <c r="T1081" s="149"/>
    </row>
    <row r="1082" spans="3:20" ht="20.25" customHeight="1">
      <c r="C1082" s="96"/>
      <c r="D1082" s="102">
        <f t="shared" si="438"/>
        <v>1082</v>
      </c>
      <c r="E1082" s="106" t="s">
        <v>459</v>
      </c>
      <c r="F1082" s="108">
        <f t="shared" ref="F1082:F1083" si="486">D1081</f>
        <v>1081</v>
      </c>
      <c r="G1082" s="105" t="s">
        <v>44</v>
      </c>
      <c r="H1082" s="105"/>
      <c r="I1082" s="104">
        <v>18</v>
      </c>
      <c r="J1082" s="104" t="str">
        <f>J1080</f>
        <v>1560 mm id</v>
      </c>
      <c r="K1082" s="118">
        <v>1</v>
      </c>
      <c r="L1082" s="118" t="s">
        <v>81</v>
      </c>
      <c r="M1082" s="119">
        <v>1</v>
      </c>
      <c r="N1082" s="104" t="s">
        <v>81</v>
      </c>
      <c r="O1082" s="120">
        <v>4</v>
      </c>
      <c r="P1082" s="104" t="s">
        <v>112</v>
      </c>
      <c r="Q1082" s="150">
        <f t="shared" ref="Q1082:Q1083" si="487">M1082*O1082</f>
        <v>4</v>
      </c>
      <c r="R1082" s="148">
        <v>1</v>
      </c>
      <c r="S1082" s="150">
        <f t="shared" ref="S1082:S1083" si="488">Q1082+R1082</f>
        <v>5</v>
      </c>
      <c r="T1082" s="152" t="s">
        <v>48</v>
      </c>
    </row>
    <row r="1083" spans="3:20" ht="20.25" customHeight="1">
      <c r="C1083" s="96"/>
      <c r="D1083" s="102">
        <f t="shared" si="438"/>
        <v>1083</v>
      </c>
      <c r="E1083" s="106" t="s">
        <v>460</v>
      </c>
      <c r="F1083" s="108">
        <f t="shared" si="486"/>
        <v>1082</v>
      </c>
      <c r="G1083" s="105" t="s">
        <v>44</v>
      </c>
      <c r="H1083" s="105"/>
      <c r="I1083" s="104">
        <v>18</v>
      </c>
      <c r="J1083" s="104" t="str">
        <f>J1082</f>
        <v>1560 mm id</v>
      </c>
      <c r="K1083" s="118">
        <v>1</v>
      </c>
      <c r="L1083" s="118" t="s">
        <v>81</v>
      </c>
      <c r="M1083" s="119">
        <v>1</v>
      </c>
      <c r="N1083" s="104" t="s">
        <v>81</v>
      </c>
      <c r="O1083" s="120">
        <v>4</v>
      </c>
      <c r="P1083" s="104" t="s">
        <v>112</v>
      </c>
      <c r="Q1083" s="150">
        <f t="shared" si="487"/>
        <v>4</v>
      </c>
      <c r="R1083" s="148">
        <v>1</v>
      </c>
      <c r="S1083" s="150">
        <f t="shared" si="488"/>
        <v>5</v>
      </c>
      <c r="T1083" s="152" t="s">
        <v>48</v>
      </c>
    </row>
    <row r="1084" spans="3:20" ht="20.25" customHeight="1">
      <c r="C1084" s="96">
        <f>D1084</f>
        <v>1084</v>
      </c>
      <c r="D1084" s="102">
        <f t="shared" si="438"/>
        <v>1084</v>
      </c>
      <c r="E1084" s="103" t="s">
        <v>461</v>
      </c>
      <c r="F1084" s="108">
        <f>D1081</f>
        <v>1081</v>
      </c>
      <c r="G1084" s="105"/>
      <c r="H1084" s="105"/>
      <c r="I1084" s="104"/>
      <c r="J1084" s="104"/>
      <c r="K1084" s="118"/>
      <c r="L1084" s="118"/>
      <c r="M1084" s="119"/>
      <c r="N1084" s="104"/>
      <c r="O1084" s="120"/>
      <c r="P1084" s="104"/>
      <c r="Q1084" s="150"/>
      <c r="R1084" s="148"/>
      <c r="S1084" s="150"/>
      <c r="T1084" s="149"/>
    </row>
    <row r="1085" spans="3:20" ht="20.25" customHeight="1">
      <c r="C1085" s="96"/>
      <c r="D1085" s="102">
        <f t="shared" si="438"/>
        <v>1085</v>
      </c>
      <c r="E1085" s="106" t="s">
        <v>462</v>
      </c>
      <c r="F1085" s="108">
        <f t="shared" ref="F1085:F1086" si="489">D1084</f>
        <v>1084</v>
      </c>
      <c r="G1085" s="105" t="s">
        <v>52</v>
      </c>
      <c r="H1085" s="105"/>
      <c r="I1085" s="104"/>
      <c r="J1085" s="132" t="s">
        <v>463</v>
      </c>
      <c r="K1085" s="118">
        <v>1</v>
      </c>
      <c r="L1085" s="118" t="s">
        <v>39</v>
      </c>
      <c r="M1085" s="119">
        <v>1</v>
      </c>
      <c r="N1085" s="104"/>
      <c r="O1085" s="162" t="e">
        <f>VLOOKUP(J1085,BM!$B$3:$Y$62,2,FALSE)</f>
        <v>#N/A</v>
      </c>
      <c r="P1085" s="104" t="s">
        <v>112</v>
      </c>
      <c r="Q1085" s="150" t="e">
        <f t="shared" ref="Q1085:Q1086" si="490">M1085*O1085</f>
        <v>#N/A</v>
      </c>
      <c r="R1085" s="148">
        <v>1</v>
      </c>
      <c r="S1085" s="150" t="e">
        <f t="shared" ref="S1085:S1086" si="491">Q1085+R1085</f>
        <v>#N/A</v>
      </c>
      <c r="T1085" s="152" t="s">
        <v>48</v>
      </c>
    </row>
    <row r="1086" spans="3:20" ht="20.25" customHeight="1">
      <c r="C1086" s="96"/>
      <c r="D1086" s="102">
        <f t="shared" si="438"/>
        <v>1086</v>
      </c>
      <c r="E1086" s="106" t="s">
        <v>464</v>
      </c>
      <c r="F1086" s="108">
        <f t="shared" si="489"/>
        <v>1085</v>
      </c>
      <c r="G1086" s="105" t="s">
        <v>52</v>
      </c>
      <c r="H1086" s="105"/>
      <c r="I1086" s="104"/>
      <c r="J1086" s="132" t="s">
        <v>463</v>
      </c>
      <c r="K1086" s="118">
        <v>1</v>
      </c>
      <c r="L1086" s="118" t="s">
        <v>39</v>
      </c>
      <c r="M1086" s="119">
        <v>1</v>
      </c>
      <c r="N1086" s="104"/>
      <c r="O1086" s="162" t="e">
        <f>VLOOKUP(J1086,BM!$B$3:$Y$62,2,FALSE)</f>
        <v>#N/A</v>
      </c>
      <c r="P1086" s="104" t="s">
        <v>112</v>
      </c>
      <c r="Q1086" s="150" t="e">
        <f t="shared" si="490"/>
        <v>#N/A</v>
      </c>
      <c r="R1086" s="148">
        <v>1</v>
      </c>
      <c r="S1086" s="150" t="e">
        <f t="shared" si="491"/>
        <v>#N/A</v>
      </c>
      <c r="T1086" s="152" t="s">
        <v>48</v>
      </c>
    </row>
    <row r="1087" spans="3:20" ht="20.25" customHeight="1">
      <c r="C1087" s="96">
        <f>D1087</f>
        <v>1087</v>
      </c>
      <c r="D1087" s="102">
        <f t="shared" si="438"/>
        <v>1087</v>
      </c>
      <c r="E1087" s="103" t="s">
        <v>465</v>
      </c>
      <c r="F1087" s="108">
        <f>D1084</f>
        <v>1084</v>
      </c>
      <c r="G1087" s="105"/>
      <c r="H1087" s="105"/>
      <c r="I1087" s="104"/>
      <c r="J1087" s="104"/>
      <c r="K1087" s="118"/>
      <c r="L1087" s="118"/>
      <c r="M1087" s="119"/>
      <c r="N1087" s="104"/>
      <c r="O1087" s="120"/>
      <c r="P1087" s="104"/>
      <c r="Q1087" s="150"/>
      <c r="R1087" s="148"/>
      <c r="S1087" s="150"/>
      <c r="T1087" s="149"/>
    </row>
    <row r="1088" spans="3:20" ht="20.25" customHeight="1">
      <c r="C1088" s="96"/>
      <c r="D1088" s="102">
        <f t="shared" si="438"/>
        <v>1088</v>
      </c>
      <c r="E1088" s="106" t="s">
        <v>466</v>
      </c>
      <c r="F1088" s="108">
        <f t="shared" ref="F1088:F1089" si="492">D1087</f>
        <v>1087</v>
      </c>
      <c r="G1088" s="105" t="s">
        <v>121</v>
      </c>
      <c r="H1088" s="105"/>
      <c r="I1088" s="104"/>
      <c r="J1088" s="104" t="str">
        <f>J1086</f>
        <v>400nb</v>
      </c>
      <c r="K1088" s="118">
        <v>1</v>
      </c>
      <c r="L1088" s="118" t="s">
        <v>39</v>
      </c>
      <c r="M1088" s="119">
        <v>1</v>
      </c>
      <c r="N1088" s="104"/>
      <c r="O1088" s="162" t="e">
        <f>VLOOKUP(J1088,BM!$B$3:$Y$62,4,FALSE)</f>
        <v>#N/A</v>
      </c>
      <c r="P1088" s="104" t="s">
        <v>112</v>
      </c>
      <c r="Q1088" s="150" t="e">
        <f t="shared" ref="Q1088:Q1089" si="493">M1088*O1088</f>
        <v>#N/A</v>
      </c>
      <c r="R1088" s="148">
        <v>1</v>
      </c>
      <c r="S1088" s="150" t="e">
        <f t="shared" ref="S1088:S1089" si="494">Q1088+R1088</f>
        <v>#N/A</v>
      </c>
      <c r="T1088" s="152" t="s">
        <v>48</v>
      </c>
    </row>
    <row r="1089" spans="3:20" ht="20.25" customHeight="1">
      <c r="C1089" s="96"/>
      <c r="D1089" s="102">
        <f t="shared" si="438"/>
        <v>1089</v>
      </c>
      <c r="E1089" s="106" t="s">
        <v>467</v>
      </c>
      <c r="F1089" s="108">
        <f t="shared" si="492"/>
        <v>1088</v>
      </c>
      <c r="G1089" s="105" t="s">
        <v>121</v>
      </c>
      <c r="H1089" s="105"/>
      <c r="I1089" s="104"/>
      <c r="J1089" s="104" t="str">
        <f>J1086</f>
        <v>400nb</v>
      </c>
      <c r="K1089" s="118">
        <v>1</v>
      </c>
      <c r="L1089" s="118" t="s">
        <v>39</v>
      </c>
      <c r="M1089" s="119">
        <v>1</v>
      </c>
      <c r="N1089" s="104"/>
      <c r="O1089" s="162" t="e">
        <f>VLOOKUP(J1089,BM!$B$3:$Y$62,4,FALSE)</f>
        <v>#N/A</v>
      </c>
      <c r="P1089" s="104" t="s">
        <v>112</v>
      </c>
      <c r="Q1089" s="150" t="e">
        <f t="shared" si="493"/>
        <v>#N/A</v>
      </c>
      <c r="R1089" s="148">
        <v>1</v>
      </c>
      <c r="S1089" s="150" t="e">
        <f t="shared" si="494"/>
        <v>#N/A</v>
      </c>
      <c r="T1089" s="152" t="s">
        <v>48</v>
      </c>
    </row>
    <row r="1090" spans="3:20" ht="20.25" customHeight="1">
      <c r="C1090" s="96">
        <f>D1090</f>
        <v>1090</v>
      </c>
      <c r="D1090" s="102">
        <f t="shared" si="438"/>
        <v>1090</v>
      </c>
      <c r="E1090" s="103" t="s">
        <v>468</v>
      </c>
      <c r="F1090" s="108">
        <f>D1087</f>
        <v>1087</v>
      </c>
      <c r="G1090" s="105"/>
      <c r="H1090" s="105"/>
      <c r="I1090" s="104"/>
      <c r="J1090" s="104"/>
      <c r="K1090" s="118"/>
      <c r="L1090" s="118"/>
      <c r="M1090" s="119"/>
      <c r="N1090" s="104"/>
      <c r="O1090" s="120"/>
      <c r="P1090" s="104"/>
      <c r="Q1090" s="150"/>
      <c r="R1090" s="148"/>
      <c r="S1090" s="150"/>
      <c r="T1090" s="149"/>
    </row>
    <row r="1091" spans="3:20" ht="20.25" customHeight="1">
      <c r="C1091" s="96"/>
      <c r="D1091" s="102">
        <f t="shared" si="438"/>
        <v>1091</v>
      </c>
      <c r="E1091" s="106" t="s">
        <v>469</v>
      </c>
      <c r="F1091" s="108">
        <f t="shared" ref="F1091:F1092" si="495">D1090</f>
        <v>1090</v>
      </c>
      <c r="G1091" s="105" t="s">
        <v>111</v>
      </c>
      <c r="H1091" s="105"/>
      <c r="I1091" s="104"/>
      <c r="J1091" s="132" t="s">
        <v>463</v>
      </c>
      <c r="K1091" s="118">
        <v>1</v>
      </c>
      <c r="L1091" s="118" t="s">
        <v>39</v>
      </c>
      <c r="M1091" s="119">
        <v>1</v>
      </c>
      <c r="N1091" s="132" t="s">
        <v>39</v>
      </c>
      <c r="O1091" s="162" t="e">
        <f>VLOOKUP(J1091,BM!$B$3:$Y$62,5,FALSE)</f>
        <v>#N/A</v>
      </c>
      <c r="P1091" s="104" t="s">
        <v>112</v>
      </c>
      <c r="Q1091" s="150" t="e">
        <f t="shared" ref="Q1091:Q1092" si="496">M1091*O1091</f>
        <v>#N/A</v>
      </c>
      <c r="R1091" s="148">
        <v>1</v>
      </c>
      <c r="S1091" s="150" t="e">
        <f t="shared" ref="S1091:S1092" si="497">Q1091+R1091</f>
        <v>#N/A</v>
      </c>
      <c r="T1091" s="152" t="s">
        <v>48</v>
      </c>
    </row>
    <row r="1092" spans="3:20" ht="20.25" customHeight="1">
      <c r="C1092" s="96"/>
      <c r="D1092" s="102">
        <f t="shared" ref="D1092:D1106" si="498">D1091+1</f>
        <v>1092</v>
      </c>
      <c r="E1092" s="106" t="s">
        <v>470</v>
      </c>
      <c r="F1092" s="108">
        <f t="shared" si="495"/>
        <v>1091</v>
      </c>
      <c r="G1092" s="105" t="s">
        <v>111</v>
      </c>
      <c r="H1092" s="105"/>
      <c r="I1092" s="104"/>
      <c r="J1092" s="132" t="s">
        <v>463</v>
      </c>
      <c r="K1092" s="118">
        <v>1</v>
      </c>
      <c r="L1092" s="118" t="s">
        <v>39</v>
      </c>
      <c r="M1092" s="119">
        <v>1</v>
      </c>
      <c r="N1092" s="132" t="s">
        <v>39</v>
      </c>
      <c r="O1092" s="162" t="e">
        <f>VLOOKUP(J1092,BM!$B$3:$Y$62,5,FALSE)</f>
        <v>#N/A</v>
      </c>
      <c r="P1092" s="104" t="s">
        <v>112</v>
      </c>
      <c r="Q1092" s="150" t="e">
        <f t="shared" si="496"/>
        <v>#N/A</v>
      </c>
      <c r="R1092" s="148">
        <v>1</v>
      </c>
      <c r="S1092" s="150" t="e">
        <f t="shared" si="497"/>
        <v>#N/A</v>
      </c>
      <c r="T1092" s="152" t="s">
        <v>48</v>
      </c>
    </row>
    <row r="1093" spans="3:20" ht="20.25" customHeight="1">
      <c r="C1093" s="96">
        <f>D1093</f>
        <v>1093</v>
      </c>
      <c r="D1093" s="102">
        <f t="shared" si="498"/>
        <v>1093</v>
      </c>
      <c r="E1093" s="103" t="s">
        <v>471</v>
      </c>
      <c r="F1093" s="108">
        <f>D1090</f>
        <v>1090</v>
      </c>
      <c r="G1093" s="105"/>
      <c r="H1093" s="105"/>
      <c r="I1093" s="104"/>
      <c r="J1093" s="104"/>
      <c r="K1093" s="118"/>
      <c r="L1093" s="118"/>
      <c r="M1093" s="119"/>
      <c r="N1093" s="104"/>
      <c r="O1093" s="120"/>
      <c r="P1093" s="104"/>
      <c r="Q1093" s="150"/>
      <c r="R1093" s="148"/>
      <c r="S1093" s="150"/>
      <c r="T1093" s="149"/>
    </row>
    <row r="1094" spans="3:20" ht="20.25" customHeight="1">
      <c r="C1094" s="96"/>
      <c r="D1094" s="102">
        <f t="shared" si="498"/>
        <v>1094</v>
      </c>
      <c r="E1094" s="106" t="s">
        <v>472</v>
      </c>
      <c r="F1094" s="108">
        <f t="shared" ref="F1094:F1095" si="499">D1093</f>
        <v>1093</v>
      </c>
      <c r="G1094" s="105" t="s">
        <v>44</v>
      </c>
      <c r="H1094" s="105"/>
      <c r="I1094" s="104"/>
      <c r="J1094" s="104" t="s">
        <v>463</v>
      </c>
      <c r="K1094" s="118">
        <v>1</v>
      </c>
      <c r="L1094" s="118" t="s">
        <v>39</v>
      </c>
      <c r="M1094" s="119">
        <v>1</v>
      </c>
      <c r="N1094" s="132" t="s">
        <v>39</v>
      </c>
      <c r="O1094" s="120">
        <v>1</v>
      </c>
      <c r="P1094" s="104" t="s">
        <v>112</v>
      </c>
      <c r="Q1094" s="150">
        <f t="shared" ref="Q1094:Q1095" si="500">M1094*O1094</f>
        <v>1</v>
      </c>
      <c r="R1094" s="148">
        <v>1</v>
      </c>
      <c r="S1094" s="150">
        <f t="shared" ref="S1094:S1095" si="501">Q1094+R1094</f>
        <v>2</v>
      </c>
      <c r="T1094" s="152" t="s">
        <v>48</v>
      </c>
    </row>
    <row r="1095" spans="3:20" ht="20.25" customHeight="1">
      <c r="C1095" s="96"/>
      <c r="D1095" s="102">
        <f t="shared" si="498"/>
        <v>1095</v>
      </c>
      <c r="E1095" s="106" t="s">
        <v>473</v>
      </c>
      <c r="F1095" s="108">
        <f t="shared" si="499"/>
        <v>1094</v>
      </c>
      <c r="G1095" s="105" t="s">
        <v>44</v>
      </c>
      <c r="H1095" s="105"/>
      <c r="I1095" s="104"/>
      <c r="J1095" s="104" t="s">
        <v>463</v>
      </c>
      <c r="K1095" s="118">
        <v>1</v>
      </c>
      <c r="L1095" s="118" t="s">
        <v>39</v>
      </c>
      <c r="M1095" s="119">
        <v>1</v>
      </c>
      <c r="N1095" s="132" t="s">
        <v>39</v>
      </c>
      <c r="O1095" s="120">
        <v>1</v>
      </c>
      <c r="P1095" s="104" t="s">
        <v>112</v>
      </c>
      <c r="Q1095" s="150">
        <f t="shared" si="500"/>
        <v>1</v>
      </c>
      <c r="R1095" s="148">
        <v>1</v>
      </c>
      <c r="S1095" s="150">
        <f t="shared" si="501"/>
        <v>2</v>
      </c>
      <c r="T1095" s="152" t="s">
        <v>48</v>
      </c>
    </row>
    <row r="1096" spans="3:20" ht="20.25" customHeight="1">
      <c r="C1096" s="96">
        <f>D1096</f>
        <v>1096</v>
      </c>
      <c r="D1096" s="102">
        <f t="shared" si="498"/>
        <v>1096</v>
      </c>
      <c r="E1096" s="103" t="s">
        <v>474</v>
      </c>
      <c r="F1096" s="108">
        <f>D1093</f>
        <v>1093</v>
      </c>
      <c r="G1096" s="105"/>
      <c r="H1096" s="105"/>
      <c r="I1096" s="104"/>
      <c r="J1096" s="104"/>
      <c r="K1096" s="118"/>
      <c r="L1096" s="118"/>
      <c r="M1096" s="119"/>
      <c r="N1096" s="104"/>
      <c r="O1096" s="120"/>
      <c r="P1096" s="104"/>
      <c r="Q1096" s="150"/>
      <c r="R1096" s="148"/>
      <c r="S1096" s="150"/>
      <c r="T1096" s="149"/>
    </row>
    <row r="1097" spans="3:20" ht="20.25" customHeight="1">
      <c r="C1097" s="96"/>
      <c r="D1097" s="102">
        <f t="shared" si="498"/>
        <v>1097</v>
      </c>
      <c r="E1097" s="106" t="s">
        <v>475</v>
      </c>
      <c r="F1097" s="108">
        <f t="shared" ref="F1097:F1105" si="502">D1096</f>
        <v>1096</v>
      </c>
      <c r="G1097" s="105" t="s">
        <v>201</v>
      </c>
      <c r="H1097" s="105"/>
      <c r="I1097" s="104"/>
      <c r="J1097" s="132" t="s">
        <v>463</v>
      </c>
      <c r="K1097" s="118">
        <v>2</v>
      </c>
      <c r="L1097" s="118" t="s">
        <v>81</v>
      </c>
      <c r="M1097" s="119">
        <v>1</v>
      </c>
      <c r="N1097" s="132" t="s">
        <v>39</v>
      </c>
      <c r="O1097" s="120">
        <v>0.5</v>
      </c>
      <c r="P1097" s="104" t="s">
        <v>112</v>
      </c>
      <c r="Q1097" s="150">
        <f t="shared" ref="Q1097:Q1105" si="503">M1097*O1097</f>
        <v>0.5</v>
      </c>
      <c r="R1097" s="148">
        <v>1</v>
      </c>
      <c r="S1097" s="150">
        <f t="shared" ref="S1097:S1105" si="504">Q1097+R1097</f>
        <v>1.5</v>
      </c>
      <c r="T1097" s="152" t="s">
        <v>48</v>
      </c>
    </row>
    <row r="1098" spans="3:20" ht="20.25" customHeight="1">
      <c r="C1098" s="96"/>
      <c r="D1098" s="102">
        <f t="shared" si="498"/>
        <v>1098</v>
      </c>
      <c r="E1098" s="106" t="s">
        <v>476</v>
      </c>
      <c r="F1098" s="108">
        <f t="shared" si="502"/>
        <v>1097</v>
      </c>
      <c r="G1098" s="105" t="s">
        <v>115</v>
      </c>
      <c r="H1098" s="105"/>
      <c r="I1098" s="104">
        <v>14</v>
      </c>
      <c r="J1098" s="132" t="s">
        <v>477</v>
      </c>
      <c r="K1098" s="118">
        <v>1</v>
      </c>
      <c r="L1098" s="118" t="s">
        <v>39</v>
      </c>
      <c r="M1098" s="142">
        <f>16*25.4*3.142*K1098/1000</f>
        <v>1.2769088</v>
      </c>
      <c r="N1098" s="132" t="s">
        <v>249</v>
      </c>
      <c r="O1098" s="162">
        <f>VLOOKUP(I1098,BM!$B$3:$Y$62,17,FALSE)</f>
        <v>3.22</v>
      </c>
      <c r="P1098" s="104" t="s">
        <v>112</v>
      </c>
      <c r="Q1098" s="150">
        <f t="shared" si="503"/>
        <v>4.1116463359999997</v>
      </c>
      <c r="R1098" s="148">
        <v>1</v>
      </c>
      <c r="S1098" s="150">
        <f t="shared" si="504"/>
        <v>5.1116463359999997</v>
      </c>
      <c r="T1098" s="152" t="s">
        <v>48</v>
      </c>
    </row>
    <row r="1099" spans="3:20" ht="20.25" customHeight="1">
      <c r="C1099" s="96"/>
      <c r="D1099" s="102">
        <f t="shared" si="498"/>
        <v>1099</v>
      </c>
      <c r="E1099" s="106" t="s">
        <v>478</v>
      </c>
      <c r="F1099" s="108">
        <f t="shared" si="502"/>
        <v>1098</v>
      </c>
      <c r="G1099" s="105" t="s">
        <v>115</v>
      </c>
      <c r="H1099" s="105"/>
      <c r="I1099" s="104">
        <v>14</v>
      </c>
      <c r="J1099" s="132" t="s">
        <v>477</v>
      </c>
      <c r="K1099" s="118">
        <v>1</v>
      </c>
      <c r="L1099" s="118" t="s">
        <v>39</v>
      </c>
      <c r="M1099" s="142">
        <f>16*25.4*3.142*K1099/1000</f>
        <v>1.2769088</v>
      </c>
      <c r="N1099" s="132" t="s">
        <v>249</v>
      </c>
      <c r="O1099" s="162">
        <f>VLOOKUP(I1099,BM!$B$3:$Y$62,17,FALSE)</f>
        <v>3.22</v>
      </c>
      <c r="P1099" s="104" t="s">
        <v>112</v>
      </c>
      <c r="Q1099" s="150">
        <f t="shared" si="503"/>
        <v>4.1116463359999997</v>
      </c>
      <c r="R1099" s="148">
        <v>1</v>
      </c>
      <c r="S1099" s="150">
        <f t="shared" si="504"/>
        <v>5.1116463359999997</v>
      </c>
      <c r="T1099" s="152" t="s">
        <v>48</v>
      </c>
    </row>
    <row r="1100" spans="3:20" ht="20.25" customHeight="1">
      <c r="C1100" s="96"/>
      <c r="D1100" s="102">
        <f t="shared" si="498"/>
        <v>1100</v>
      </c>
      <c r="E1100" s="106" t="s">
        <v>479</v>
      </c>
      <c r="F1100" s="108">
        <f t="shared" si="502"/>
        <v>1099</v>
      </c>
      <c r="G1100" s="105" t="s">
        <v>115</v>
      </c>
      <c r="H1100" s="105"/>
      <c r="I1100" s="104">
        <v>14</v>
      </c>
      <c r="J1100" s="132" t="s">
        <v>477</v>
      </c>
      <c r="K1100" s="118">
        <v>2</v>
      </c>
      <c r="L1100" s="118" t="s">
        <v>39</v>
      </c>
      <c r="M1100" s="119">
        <v>2</v>
      </c>
      <c r="N1100" s="132" t="s">
        <v>81</v>
      </c>
      <c r="O1100" s="120">
        <v>1</v>
      </c>
      <c r="P1100" s="104" t="s">
        <v>112</v>
      </c>
      <c r="Q1100" s="150">
        <f t="shared" si="503"/>
        <v>2</v>
      </c>
      <c r="R1100" s="148">
        <v>1</v>
      </c>
      <c r="S1100" s="150">
        <f t="shared" si="504"/>
        <v>3</v>
      </c>
      <c r="T1100" s="152" t="s">
        <v>48</v>
      </c>
    </row>
    <row r="1101" spans="3:20" ht="20.25" customHeight="1">
      <c r="C1101" s="96"/>
      <c r="D1101" s="102">
        <f t="shared" si="498"/>
        <v>1101</v>
      </c>
      <c r="E1101" s="106" t="s">
        <v>480</v>
      </c>
      <c r="F1101" s="108">
        <f t="shared" si="502"/>
        <v>1100</v>
      </c>
      <c r="G1101" s="105" t="s">
        <v>115</v>
      </c>
      <c r="H1101" s="105"/>
      <c r="I1101" s="104">
        <v>6</v>
      </c>
      <c r="J1101" s="132" t="s">
        <v>477</v>
      </c>
      <c r="K1101" s="118">
        <v>1</v>
      </c>
      <c r="L1101" s="118" t="s">
        <v>39</v>
      </c>
      <c r="M1101" s="142">
        <f>16*25.4*3.142*K1101/1000</f>
        <v>1.2769088</v>
      </c>
      <c r="N1101" s="132" t="s">
        <v>249</v>
      </c>
      <c r="O1101" s="162">
        <f>VLOOKUP(I1101,BM!$B$3:$Y$62,17,FALSE)</f>
        <v>0.9</v>
      </c>
      <c r="P1101" s="104" t="s">
        <v>112</v>
      </c>
      <c r="Q1101" s="150">
        <f t="shared" si="503"/>
        <v>1.1492179199999999</v>
      </c>
      <c r="R1101" s="148">
        <v>1</v>
      </c>
      <c r="S1101" s="150">
        <f t="shared" si="504"/>
        <v>2.1492179199999999</v>
      </c>
      <c r="T1101" s="152" t="s">
        <v>48</v>
      </c>
    </row>
    <row r="1102" spans="3:20" ht="20.25" customHeight="1">
      <c r="C1102" s="96"/>
      <c r="D1102" s="102">
        <f t="shared" si="498"/>
        <v>1102</v>
      </c>
      <c r="E1102" s="106" t="s">
        <v>481</v>
      </c>
      <c r="F1102" s="108">
        <f t="shared" si="502"/>
        <v>1101</v>
      </c>
      <c r="G1102" s="105" t="s">
        <v>115</v>
      </c>
      <c r="H1102" s="105"/>
      <c r="I1102" s="104">
        <v>6</v>
      </c>
      <c r="J1102" s="132" t="s">
        <v>477</v>
      </c>
      <c r="K1102" s="118">
        <v>1</v>
      </c>
      <c r="L1102" s="118" t="s">
        <v>39</v>
      </c>
      <c r="M1102" s="142">
        <f>16*25.4*3.142*K1102/1000</f>
        <v>1.2769088</v>
      </c>
      <c r="N1102" s="132" t="s">
        <v>249</v>
      </c>
      <c r="O1102" s="162">
        <f>VLOOKUP(I1102,BM!$B$3:$Y$62,17,FALSE)</f>
        <v>0.9</v>
      </c>
      <c r="P1102" s="104" t="s">
        <v>112</v>
      </c>
      <c r="Q1102" s="150">
        <f t="shared" si="503"/>
        <v>1.1492179199999999</v>
      </c>
      <c r="R1102" s="148">
        <v>1</v>
      </c>
      <c r="S1102" s="150">
        <f t="shared" si="504"/>
        <v>2.1492179199999999</v>
      </c>
      <c r="T1102" s="152" t="s">
        <v>48</v>
      </c>
    </row>
    <row r="1103" spans="3:20" ht="20.25" customHeight="1">
      <c r="C1103" s="96"/>
      <c r="D1103" s="102">
        <f t="shared" si="498"/>
        <v>1103</v>
      </c>
      <c r="E1103" s="106" t="s">
        <v>769</v>
      </c>
      <c r="F1103" s="108">
        <f t="shared" si="502"/>
        <v>1102</v>
      </c>
      <c r="G1103" s="105" t="s">
        <v>115</v>
      </c>
      <c r="H1103" s="105"/>
      <c r="I1103" s="104"/>
      <c r="J1103" s="132" t="s">
        <v>463</v>
      </c>
      <c r="K1103" s="118">
        <v>2</v>
      </c>
      <c r="L1103" s="118" t="s">
        <v>39</v>
      </c>
      <c r="M1103" s="119">
        <v>2</v>
      </c>
      <c r="N1103" s="104" t="s">
        <v>84</v>
      </c>
      <c r="O1103" s="162" t="e">
        <f>VLOOKUP(J1103,BM!$B$3:$Y$62,11,FALSE)</f>
        <v>#N/A</v>
      </c>
      <c r="P1103" s="104" t="s">
        <v>112</v>
      </c>
      <c r="Q1103" s="150" t="e">
        <f t="shared" si="503"/>
        <v>#N/A</v>
      </c>
      <c r="R1103" s="148">
        <v>1</v>
      </c>
      <c r="S1103" s="150" t="e">
        <f t="shared" si="504"/>
        <v>#N/A</v>
      </c>
      <c r="T1103" s="152" t="s">
        <v>48</v>
      </c>
    </row>
    <row r="1104" spans="3:20" ht="20.25" customHeight="1">
      <c r="C1104" s="96"/>
      <c r="D1104" s="102">
        <f t="shared" si="498"/>
        <v>1104</v>
      </c>
      <c r="E1104" s="106" t="s">
        <v>483</v>
      </c>
      <c r="F1104" s="108">
        <f t="shared" si="502"/>
        <v>1103</v>
      </c>
      <c r="G1104" s="105" t="s">
        <v>121</v>
      </c>
      <c r="H1104" s="105"/>
      <c r="I1104" s="104">
        <v>18</v>
      </c>
      <c r="J1104" s="104"/>
      <c r="K1104" s="118">
        <v>2</v>
      </c>
      <c r="L1104" s="118" t="s">
        <v>39</v>
      </c>
      <c r="M1104" s="142">
        <f>16*25.4*3.142*0.001*K1104</f>
        <v>2.5538175999999999</v>
      </c>
      <c r="N1104" s="104" t="s">
        <v>249</v>
      </c>
      <c r="O1104" s="162">
        <f>VLOOKUP(I1104,BM!$B$3:$Y$62,23,FALSE)</f>
        <v>6.8</v>
      </c>
      <c r="P1104" s="104" t="s">
        <v>112</v>
      </c>
      <c r="Q1104" s="150">
        <f t="shared" si="503"/>
        <v>17.36595968</v>
      </c>
      <c r="R1104" s="148">
        <v>1</v>
      </c>
      <c r="S1104" s="150">
        <f t="shared" si="504"/>
        <v>18.36595968</v>
      </c>
      <c r="T1104" s="152" t="s">
        <v>48</v>
      </c>
    </row>
    <row r="1105" spans="3:21" ht="20.25" customHeight="1">
      <c r="C1105" s="96"/>
      <c r="D1105" s="102">
        <f t="shared" si="498"/>
        <v>1105</v>
      </c>
      <c r="E1105" s="106" t="s">
        <v>484</v>
      </c>
      <c r="F1105" s="108">
        <f t="shared" si="502"/>
        <v>1104</v>
      </c>
      <c r="G1105" s="105" t="s">
        <v>61</v>
      </c>
      <c r="H1105" s="105"/>
      <c r="I1105" s="104"/>
      <c r="J1105" s="132" t="s">
        <v>477</v>
      </c>
      <c r="K1105" s="118">
        <v>2</v>
      </c>
      <c r="L1105" s="118" t="s">
        <v>485</v>
      </c>
      <c r="M1105" s="142">
        <f>16*25.4*3.142*K1105/1000</f>
        <v>2.5538175999999999</v>
      </c>
      <c r="N1105" s="104" t="s">
        <v>39</v>
      </c>
      <c r="O1105" s="120">
        <v>0.15</v>
      </c>
      <c r="P1105" s="104" t="s">
        <v>112</v>
      </c>
      <c r="Q1105" s="150">
        <f t="shared" si="503"/>
        <v>0.38307263999999996</v>
      </c>
      <c r="R1105" s="148">
        <v>1</v>
      </c>
      <c r="S1105" s="150">
        <f t="shared" si="504"/>
        <v>1.38307264</v>
      </c>
      <c r="T1105" s="152" t="s">
        <v>48</v>
      </c>
    </row>
    <row r="1106" spans="3:21" ht="20.25" customHeight="1">
      <c r="C1106" s="96">
        <f>D1106</f>
        <v>1106</v>
      </c>
      <c r="D1106" s="168">
        <f t="shared" si="498"/>
        <v>1106</v>
      </c>
      <c r="E1106" s="169" t="s">
        <v>781</v>
      </c>
      <c r="F1106" s="108">
        <f>D1104</f>
        <v>1104</v>
      </c>
      <c r="G1106" s="105"/>
      <c r="H1106" s="105"/>
      <c r="I1106" s="104"/>
      <c r="J1106" s="104"/>
      <c r="K1106" s="118"/>
      <c r="L1106" s="118"/>
      <c r="M1106" s="119"/>
      <c r="N1106" s="104"/>
      <c r="O1106" s="120"/>
      <c r="P1106" s="104"/>
      <c r="Q1106" s="150">
        <f t="shared" ref="Q1106:Q1115" si="505">M1106*O1106</f>
        <v>0</v>
      </c>
      <c r="R1106" s="148"/>
      <c r="S1106" s="150">
        <f t="shared" ref="S1106:S1115" si="506">Q1106+R1106</f>
        <v>0</v>
      </c>
      <c r="T1106" s="149"/>
    </row>
    <row r="1107" spans="3:21" ht="20.25" customHeight="1">
      <c r="C1107" s="96"/>
      <c r="D1107" s="168">
        <f t="shared" ref="D1107:D1170" si="507">D1106+1</f>
        <v>1107</v>
      </c>
      <c r="E1107" s="170" t="s">
        <v>692</v>
      </c>
      <c r="F1107" s="108"/>
      <c r="G1107" s="105" t="s">
        <v>299</v>
      </c>
      <c r="H1107" s="105"/>
      <c r="I1107" s="104"/>
      <c r="J1107" s="104"/>
      <c r="K1107" s="118">
        <v>1</v>
      </c>
      <c r="L1107" s="118" t="s">
        <v>39</v>
      </c>
      <c r="M1107" s="119">
        <v>1</v>
      </c>
      <c r="N1107" s="104" t="s">
        <v>249</v>
      </c>
      <c r="O1107" s="120">
        <v>16</v>
      </c>
      <c r="P1107" s="104" t="s">
        <v>112</v>
      </c>
      <c r="Q1107" s="150">
        <f t="shared" si="505"/>
        <v>16</v>
      </c>
      <c r="R1107" s="148">
        <v>1</v>
      </c>
      <c r="S1107" s="150">
        <f t="shared" si="506"/>
        <v>17</v>
      </c>
      <c r="T1107" s="149">
        <v>1</v>
      </c>
    </row>
    <row r="1108" spans="3:21" ht="20.25" customHeight="1">
      <c r="C1108" s="96"/>
      <c r="D1108" s="168">
        <f t="shared" si="507"/>
        <v>1108</v>
      </c>
      <c r="E1108" s="170" t="s">
        <v>693</v>
      </c>
      <c r="F1108" s="108"/>
      <c r="G1108" s="105" t="s">
        <v>299</v>
      </c>
      <c r="H1108" s="105"/>
      <c r="I1108" s="104" t="s">
        <v>376</v>
      </c>
      <c r="J1108" s="104"/>
      <c r="K1108" s="118">
        <v>1</v>
      </c>
      <c r="L1108" s="118" t="s">
        <v>39</v>
      </c>
      <c r="M1108" s="119">
        <v>1</v>
      </c>
      <c r="N1108" s="104" t="s">
        <v>249</v>
      </c>
      <c r="O1108" s="162" t="e">
        <f>VLOOKUP(I1108,BM!$B$3:$Y$62,11,FALSE)</f>
        <v>#N/A</v>
      </c>
      <c r="P1108" s="104" t="s">
        <v>112</v>
      </c>
      <c r="Q1108" s="150" t="e">
        <f t="shared" si="505"/>
        <v>#N/A</v>
      </c>
      <c r="R1108" s="148">
        <v>1</v>
      </c>
      <c r="S1108" s="150" t="e">
        <f t="shared" si="506"/>
        <v>#N/A</v>
      </c>
      <c r="T1108" s="149">
        <v>1</v>
      </c>
    </row>
    <row r="1109" spans="3:21" ht="20.25" customHeight="1">
      <c r="C1109" s="96"/>
      <c r="D1109" s="168">
        <f t="shared" si="507"/>
        <v>1109</v>
      </c>
      <c r="E1109" s="170" t="s">
        <v>694</v>
      </c>
      <c r="F1109" s="108"/>
      <c r="G1109" s="105" t="s">
        <v>299</v>
      </c>
      <c r="H1109" s="105"/>
      <c r="I1109" s="104" t="s">
        <v>463</v>
      </c>
      <c r="J1109" s="104"/>
      <c r="K1109" s="118">
        <v>1</v>
      </c>
      <c r="L1109" s="118" t="s">
        <v>39</v>
      </c>
      <c r="M1109" s="119">
        <v>1</v>
      </c>
      <c r="N1109" s="104" t="s">
        <v>249</v>
      </c>
      <c r="O1109" s="162" t="e">
        <f>VLOOKUP(I1109,BM!$B$3:$Y$62,11,FALSE)</f>
        <v>#N/A</v>
      </c>
      <c r="P1109" s="104" t="s">
        <v>112</v>
      </c>
      <c r="Q1109" s="150" t="e">
        <f t="shared" si="505"/>
        <v>#N/A</v>
      </c>
      <c r="R1109" s="148">
        <v>1</v>
      </c>
      <c r="S1109" s="150" t="e">
        <f t="shared" si="506"/>
        <v>#N/A</v>
      </c>
      <c r="T1109" s="149">
        <v>1</v>
      </c>
    </row>
    <row r="1110" spans="3:21" ht="20.25" customHeight="1">
      <c r="C1110" s="96"/>
      <c r="D1110" s="168">
        <f t="shared" si="507"/>
        <v>1110</v>
      </c>
      <c r="E1110" s="170" t="s">
        <v>696</v>
      </c>
      <c r="F1110" s="108"/>
      <c r="G1110" s="105" t="s">
        <v>115</v>
      </c>
      <c r="H1110" s="105"/>
      <c r="I1110" s="104">
        <v>18</v>
      </c>
      <c r="J1110" s="104" t="s">
        <v>782</v>
      </c>
      <c r="K1110" s="118">
        <v>1</v>
      </c>
      <c r="L1110" s="118" t="s">
        <v>39</v>
      </c>
      <c r="M1110" s="142" t="e">
        <f>#REF!*3.142*0.001*K1110</f>
        <v>#REF!</v>
      </c>
      <c r="N1110" s="104" t="s">
        <v>249</v>
      </c>
      <c r="O1110" s="162">
        <f>VLOOKUP(I1110,BM!$B$3:$Y$62,17,FALSE)</f>
        <v>4.9000000000000004</v>
      </c>
      <c r="P1110" s="104" t="s">
        <v>112</v>
      </c>
      <c r="Q1110" s="150" t="e">
        <f t="shared" si="505"/>
        <v>#REF!</v>
      </c>
      <c r="R1110" s="148">
        <v>1</v>
      </c>
      <c r="S1110" s="150" t="e">
        <f t="shared" si="506"/>
        <v>#REF!</v>
      </c>
      <c r="T1110" s="149">
        <v>1</v>
      </c>
    </row>
    <row r="1111" spans="3:21" ht="20.25" customHeight="1">
      <c r="C1111" s="96"/>
      <c r="D1111" s="168">
        <f t="shared" si="507"/>
        <v>1111</v>
      </c>
      <c r="E1111" s="170" t="s">
        <v>698</v>
      </c>
      <c r="F1111" s="108"/>
      <c r="G1111" s="105" t="s">
        <v>115</v>
      </c>
      <c r="H1111" s="105"/>
      <c r="I1111" s="104">
        <v>18</v>
      </c>
      <c r="J1111" s="104" t="s">
        <v>782</v>
      </c>
      <c r="K1111" s="118">
        <v>1</v>
      </c>
      <c r="L1111" s="118" t="s">
        <v>39</v>
      </c>
      <c r="M1111" s="142" t="e">
        <f>#REF!*3.142*0.001*K1111</f>
        <v>#REF!</v>
      </c>
      <c r="N1111" s="104" t="s">
        <v>249</v>
      </c>
      <c r="O1111" s="162">
        <f>VLOOKUP(I1111,BM!$B$3:$Y$62,17,FALSE)</f>
        <v>4.9000000000000004</v>
      </c>
      <c r="P1111" s="104" t="s">
        <v>112</v>
      </c>
      <c r="Q1111" s="150" t="e">
        <f t="shared" si="505"/>
        <v>#REF!</v>
      </c>
      <c r="R1111" s="148">
        <v>1</v>
      </c>
      <c r="S1111" s="150" t="e">
        <f t="shared" si="506"/>
        <v>#REF!</v>
      </c>
      <c r="T1111" s="149">
        <v>1</v>
      </c>
    </row>
    <row r="1112" spans="3:21" ht="20.25" customHeight="1">
      <c r="C1112" s="96"/>
      <c r="D1112" s="168">
        <f t="shared" si="507"/>
        <v>1112</v>
      </c>
      <c r="E1112" s="170" t="s">
        <v>700</v>
      </c>
      <c r="F1112" s="108"/>
      <c r="G1112" s="105" t="s">
        <v>299</v>
      </c>
      <c r="H1112" s="105"/>
      <c r="I1112" s="104"/>
      <c r="J1112" s="104"/>
      <c r="K1112" s="118">
        <v>1</v>
      </c>
      <c r="L1112" s="118" t="s">
        <v>39</v>
      </c>
      <c r="M1112" s="119">
        <v>1</v>
      </c>
      <c r="N1112" s="104" t="s">
        <v>249</v>
      </c>
      <c r="O1112" s="120">
        <v>12</v>
      </c>
      <c r="P1112" s="104" t="s">
        <v>112</v>
      </c>
      <c r="Q1112" s="150">
        <f t="shared" si="505"/>
        <v>12</v>
      </c>
      <c r="R1112" s="148">
        <v>1</v>
      </c>
      <c r="S1112" s="150">
        <f t="shared" si="506"/>
        <v>13</v>
      </c>
      <c r="T1112" s="149">
        <v>1</v>
      </c>
    </row>
    <row r="1113" spans="3:21" ht="20.25" customHeight="1">
      <c r="C1113" s="96"/>
      <c r="D1113" s="168">
        <f t="shared" si="507"/>
        <v>1113</v>
      </c>
      <c r="E1113" s="170" t="s">
        <v>783</v>
      </c>
      <c r="F1113" s="108"/>
      <c r="G1113" s="105" t="s">
        <v>121</v>
      </c>
      <c r="H1113" s="105"/>
      <c r="I1113" s="104">
        <v>18</v>
      </c>
      <c r="J1113" s="104"/>
      <c r="K1113" s="118">
        <v>1</v>
      </c>
      <c r="L1113" s="118" t="s">
        <v>39</v>
      </c>
      <c r="M1113" s="142" t="e">
        <f>#REF!*3.142*0.001*K1113</f>
        <v>#REF!</v>
      </c>
      <c r="N1113" s="104" t="s">
        <v>249</v>
      </c>
      <c r="O1113" s="162">
        <f>VLOOKUP(I1113,BM!$B$3:$Y$62,20,FALSE)</f>
        <v>0.5</v>
      </c>
      <c r="P1113" s="104" t="s">
        <v>112</v>
      </c>
      <c r="Q1113" s="150" t="e">
        <f t="shared" si="505"/>
        <v>#REF!</v>
      </c>
      <c r="R1113" s="148">
        <v>1</v>
      </c>
      <c r="S1113" s="150" t="e">
        <f t="shared" si="506"/>
        <v>#REF!</v>
      </c>
      <c r="T1113" s="149">
        <v>1</v>
      </c>
    </row>
    <row r="1114" spans="3:21" ht="20.25" customHeight="1">
      <c r="C1114" s="96"/>
      <c r="D1114" s="168">
        <f t="shared" si="507"/>
        <v>1114</v>
      </c>
      <c r="E1114" s="170" t="s">
        <v>784</v>
      </c>
      <c r="F1114" s="108"/>
      <c r="G1114" s="105" t="s">
        <v>121</v>
      </c>
      <c r="H1114" s="105"/>
      <c r="I1114" s="104">
        <v>18</v>
      </c>
      <c r="J1114" s="104"/>
      <c r="K1114" s="118">
        <v>1</v>
      </c>
      <c r="L1114" s="118" t="s">
        <v>39</v>
      </c>
      <c r="M1114" s="142" t="e">
        <f>#REF!*3.142*0.001*K1114</f>
        <v>#REF!</v>
      </c>
      <c r="N1114" s="104" t="s">
        <v>249</v>
      </c>
      <c r="O1114" s="162">
        <f>VLOOKUP(I1114,BM!$B$3:$Y$62,20,FALSE)</f>
        <v>0.5</v>
      </c>
      <c r="P1114" s="104" t="s">
        <v>112</v>
      </c>
      <c r="Q1114" s="150" t="e">
        <f t="shared" si="505"/>
        <v>#REF!</v>
      </c>
      <c r="R1114" s="148">
        <v>1</v>
      </c>
      <c r="S1114" s="150" t="e">
        <f t="shared" si="506"/>
        <v>#REF!</v>
      </c>
      <c r="T1114" s="149">
        <v>1</v>
      </c>
    </row>
    <row r="1115" spans="3:21" ht="20.25" customHeight="1">
      <c r="C1115" s="96"/>
      <c r="D1115" s="168">
        <f t="shared" si="507"/>
        <v>1115</v>
      </c>
      <c r="E1115" s="170" t="s">
        <v>703</v>
      </c>
      <c r="F1115" s="108"/>
      <c r="G1115" s="105" t="s">
        <v>312</v>
      </c>
      <c r="H1115" s="105"/>
      <c r="I1115" s="108">
        <f>I1113</f>
        <v>18</v>
      </c>
      <c r="J1115" s="108">
        <f t="shared" ref="J1115:M1115" si="508">J1113</f>
        <v>0</v>
      </c>
      <c r="K1115" s="164">
        <f t="shared" si="508"/>
        <v>1</v>
      </c>
      <c r="L1115" s="164" t="str">
        <f t="shared" si="508"/>
        <v>No</v>
      </c>
      <c r="M1115" s="142" t="e">
        <f t="shared" si="508"/>
        <v>#REF!</v>
      </c>
      <c r="N1115" s="104" t="s">
        <v>39</v>
      </c>
      <c r="O1115" s="120">
        <v>1</v>
      </c>
      <c r="P1115" s="104" t="s">
        <v>41</v>
      </c>
      <c r="Q1115" s="150" t="e">
        <f t="shared" si="505"/>
        <v>#REF!</v>
      </c>
      <c r="R1115" s="148"/>
      <c r="S1115" s="150" t="e">
        <f t="shared" si="506"/>
        <v>#REF!</v>
      </c>
      <c r="T1115" s="149"/>
    </row>
    <row r="1116" spans="3:21" ht="20.25" customHeight="1">
      <c r="C1116" s="96">
        <f>D1116</f>
        <v>1116</v>
      </c>
      <c r="D1116" s="102">
        <f t="shared" si="507"/>
        <v>1116</v>
      </c>
      <c r="E1116" s="103" t="s">
        <v>770</v>
      </c>
      <c r="F1116" s="108">
        <f>D1106</f>
        <v>1106</v>
      </c>
      <c r="G1116" s="105"/>
      <c r="H1116" s="105"/>
      <c r="I1116" s="104"/>
      <c r="J1116" s="104"/>
      <c r="K1116" s="118"/>
      <c r="L1116" s="118"/>
      <c r="M1116" s="119"/>
      <c r="N1116" s="104"/>
      <c r="O1116" s="120"/>
      <c r="P1116" s="104"/>
      <c r="Q1116" s="150"/>
      <c r="R1116" s="148"/>
      <c r="S1116" s="150"/>
      <c r="T1116" s="149"/>
    </row>
    <row r="1117" spans="3:21" ht="20.25" customHeight="1">
      <c r="C1117" s="96"/>
      <c r="D1117" s="102">
        <f t="shared" si="507"/>
        <v>1117</v>
      </c>
      <c r="E1117" s="106" t="s">
        <v>487</v>
      </c>
      <c r="F1117" s="108">
        <f t="shared" ref="F1117:F1118" si="509">D1116</f>
        <v>1116</v>
      </c>
      <c r="G1117" s="105" t="s">
        <v>299</v>
      </c>
      <c r="H1117" s="105"/>
      <c r="I1117" s="104">
        <v>24</v>
      </c>
      <c r="J1117" s="132">
        <v>14465</v>
      </c>
      <c r="K1117" s="118">
        <v>1</v>
      </c>
      <c r="L1117" s="118" t="s">
        <v>39</v>
      </c>
      <c r="M1117" s="119">
        <f>J1117*K1117/1000</f>
        <v>14.465</v>
      </c>
      <c r="N1117" s="104" t="s">
        <v>81</v>
      </c>
      <c r="O1117" s="120">
        <v>0.5</v>
      </c>
      <c r="P1117" s="104" t="s">
        <v>112</v>
      </c>
      <c r="Q1117" s="150">
        <f t="shared" ref="Q1117:Q1118" si="510">M1117*O1117</f>
        <v>7.2324999999999999</v>
      </c>
      <c r="R1117" s="148">
        <v>1</v>
      </c>
      <c r="S1117" s="150">
        <f t="shared" ref="S1117:S1118" si="511">Q1117+R1117</f>
        <v>8.2324999999999999</v>
      </c>
      <c r="T1117" s="152" t="s">
        <v>48</v>
      </c>
      <c r="U1117" s="87">
        <f>466*2*2+1231*2*2+1212*2+1231+780*2+1231*2</f>
        <v>14465</v>
      </c>
    </row>
    <row r="1118" spans="3:21" ht="20.25" customHeight="1">
      <c r="C1118" s="96"/>
      <c r="D1118" s="102">
        <f t="shared" si="507"/>
        <v>1118</v>
      </c>
      <c r="E1118" s="106" t="s">
        <v>488</v>
      </c>
      <c r="F1118" s="108">
        <f t="shared" si="509"/>
        <v>1117</v>
      </c>
      <c r="G1118" s="105" t="s">
        <v>44</v>
      </c>
      <c r="H1118" s="105"/>
      <c r="I1118" s="104">
        <v>24</v>
      </c>
      <c r="J1118" s="132" t="s">
        <v>489</v>
      </c>
      <c r="K1118" s="118">
        <v>3</v>
      </c>
      <c r="L1118" s="118" t="s">
        <v>39</v>
      </c>
      <c r="M1118" s="119">
        <v>4</v>
      </c>
      <c r="N1118" s="104" t="s">
        <v>81</v>
      </c>
      <c r="O1118" s="120">
        <v>0.5</v>
      </c>
      <c r="P1118" s="104" t="s">
        <v>112</v>
      </c>
      <c r="Q1118" s="150">
        <f t="shared" si="510"/>
        <v>2</v>
      </c>
      <c r="R1118" s="148">
        <v>1</v>
      </c>
      <c r="S1118" s="150">
        <f t="shared" si="511"/>
        <v>3</v>
      </c>
      <c r="T1118" s="152" t="s">
        <v>48</v>
      </c>
    </row>
    <row r="1119" spans="3:21" ht="20.25" customHeight="1">
      <c r="C1119" s="96">
        <f>D1119</f>
        <v>1119</v>
      </c>
      <c r="D1119" s="102">
        <f t="shared" si="507"/>
        <v>1119</v>
      </c>
      <c r="E1119" s="103" t="s">
        <v>490</v>
      </c>
      <c r="F1119" s="108">
        <f>D1116</f>
        <v>1116</v>
      </c>
      <c r="G1119" s="105"/>
      <c r="H1119" s="105"/>
      <c r="I1119" s="104"/>
      <c r="J1119" s="104"/>
      <c r="K1119" s="118"/>
      <c r="L1119" s="118"/>
      <c r="M1119" s="119"/>
      <c r="N1119" s="104"/>
      <c r="O1119" s="120"/>
      <c r="P1119" s="104"/>
      <c r="Q1119" s="150"/>
      <c r="R1119" s="148"/>
      <c r="S1119" s="150"/>
      <c r="T1119" s="149"/>
    </row>
    <row r="1120" spans="3:21" ht="20.25" customHeight="1">
      <c r="C1120" s="96"/>
      <c r="D1120" s="102">
        <f t="shared" si="507"/>
        <v>1120</v>
      </c>
      <c r="E1120" s="106" t="s">
        <v>491</v>
      </c>
      <c r="F1120" s="108">
        <f t="shared" ref="F1120:F1121" si="512">D1119</f>
        <v>1119</v>
      </c>
      <c r="G1120" s="105" t="s">
        <v>115</v>
      </c>
      <c r="H1120" s="105"/>
      <c r="I1120" s="104">
        <v>24</v>
      </c>
      <c r="J1120" s="104">
        <v>1480</v>
      </c>
      <c r="K1120" s="118">
        <v>3</v>
      </c>
      <c r="L1120" s="118" t="s">
        <v>39</v>
      </c>
      <c r="M1120" s="142">
        <f>J1120*K1120/1000</f>
        <v>4.4400000000000004</v>
      </c>
      <c r="N1120" s="104"/>
      <c r="O1120" s="162">
        <f>VLOOKUP(I1120,BM!$B$3:$Y$62,23,FALSE)</f>
        <v>11.2</v>
      </c>
      <c r="P1120" s="104" t="s">
        <v>112</v>
      </c>
      <c r="Q1120" s="150">
        <f t="shared" ref="Q1120:Q1121" si="513">M1120*O1120</f>
        <v>49.728000000000002</v>
      </c>
      <c r="R1120" s="148">
        <v>1</v>
      </c>
      <c r="S1120" s="150">
        <f t="shared" ref="S1120:S1121" si="514">Q1120+R1120</f>
        <v>50.728000000000002</v>
      </c>
      <c r="T1120" s="152" t="s">
        <v>48</v>
      </c>
    </row>
    <row r="1121" spans="3:21" ht="20.25" customHeight="1">
      <c r="C1121" s="96"/>
      <c r="D1121" s="102">
        <f t="shared" si="507"/>
        <v>1121</v>
      </c>
      <c r="E1121" s="106" t="s">
        <v>492</v>
      </c>
      <c r="F1121" s="108">
        <f t="shared" si="512"/>
        <v>1120</v>
      </c>
      <c r="G1121" s="105" t="s">
        <v>121</v>
      </c>
      <c r="H1121" s="105"/>
      <c r="I1121" s="104">
        <v>12</v>
      </c>
      <c r="J1121" s="132" t="s">
        <v>493</v>
      </c>
      <c r="K1121" s="118">
        <v>1</v>
      </c>
      <c r="L1121" s="118" t="s">
        <v>39</v>
      </c>
      <c r="M1121" s="128">
        <f>LEFT(J1121,SEARCH(" ",J1121,1)-1)*K1121/1000</f>
        <v>12.31</v>
      </c>
      <c r="N1121" s="104" t="s">
        <v>39</v>
      </c>
      <c r="O1121" s="162">
        <f>VLOOKUP(I1121,BM!$B$3:$Y$62,22,FALSE)</f>
        <v>1.6</v>
      </c>
      <c r="P1121" s="104" t="s">
        <v>112</v>
      </c>
      <c r="Q1121" s="150">
        <f t="shared" si="513"/>
        <v>19.696000000000002</v>
      </c>
      <c r="R1121" s="148">
        <v>1</v>
      </c>
      <c r="S1121" s="150">
        <f t="shared" si="514"/>
        <v>20.696000000000002</v>
      </c>
      <c r="T1121" s="152" t="s">
        <v>48</v>
      </c>
      <c r="U1121" s="87">
        <f>(1231*10)</f>
        <v>12310</v>
      </c>
    </row>
    <row r="1122" spans="3:21" ht="20.25" customHeight="1">
      <c r="C1122" s="96">
        <f>D1122</f>
        <v>1122</v>
      </c>
      <c r="D1122" s="102">
        <f t="shared" si="507"/>
        <v>1122</v>
      </c>
      <c r="E1122" s="103" t="s">
        <v>771</v>
      </c>
      <c r="F1122" s="108">
        <f>D1119</f>
        <v>1119</v>
      </c>
      <c r="G1122" s="105"/>
      <c r="H1122" s="105"/>
      <c r="I1122" s="104"/>
      <c r="J1122" s="104"/>
      <c r="K1122" s="118"/>
      <c r="L1122" s="118"/>
      <c r="M1122" s="119"/>
      <c r="N1122" s="104"/>
      <c r="O1122" s="120"/>
      <c r="P1122" s="104"/>
      <c r="Q1122" s="150"/>
      <c r="R1122" s="148"/>
      <c r="S1122" s="150"/>
      <c r="T1122" s="149"/>
    </row>
    <row r="1123" spans="3:21" ht="20.25" customHeight="1">
      <c r="C1123" s="96"/>
      <c r="D1123" s="102">
        <f t="shared" si="507"/>
        <v>1123</v>
      </c>
      <c r="E1123" s="106" t="s">
        <v>495</v>
      </c>
      <c r="F1123" s="108">
        <f t="shared" ref="F1123:F1125" si="515">D1122</f>
        <v>1122</v>
      </c>
      <c r="G1123" s="105" t="s">
        <v>44</v>
      </c>
      <c r="H1123" s="105"/>
      <c r="I1123" s="104">
        <v>18</v>
      </c>
      <c r="J1123" s="104" t="s">
        <v>496</v>
      </c>
      <c r="K1123" s="118">
        <v>1</v>
      </c>
      <c r="L1123" s="118" t="s">
        <v>39</v>
      </c>
      <c r="M1123" s="119">
        <v>1</v>
      </c>
      <c r="N1123" s="104" t="s">
        <v>39</v>
      </c>
      <c r="O1123" s="120">
        <v>4</v>
      </c>
      <c r="P1123" s="104" t="s">
        <v>112</v>
      </c>
      <c r="Q1123" s="150">
        <f t="shared" ref="Q1123:Q1125" si="516">M1123*O1123</f>
        <v>4</v>
      </c>
      <c r="R1123" s="148">
        <v>1</v>
      </c>
      <c r="S1123" s="150">
        <f t="shared" ref="S1123:S1125" si="517">Q1123+R1123</f>
        <v>5</v>
      </c>
      <c r="T1123" s="152" t="s">
        <v>48</v>
      </c>
    </row>
    <row r="1124" spans="3:21" ht="20.25" customHeight="1">
      <c r="C1124" s="96"/>
      <c r="D1124" s="102">
        <f t="shared" si="507"/>
        <v>1124</v>
      </c>
      <c r="E1124" s="106" t="s">
        <v>497</v>
      </c>
      <c r="F1124" s="108">
        <f t="shared" si="515"/>
        <v>1123</v>
      </c>
      <c r="G1124" s="105" t="s">
        <v>498</v>
      </c>
      <c r="H1124" s="105"/>
      <c r="I1124" s="104">
        <v>18</v>
      </c>
      <c r="J1124" s="104" t="s">
        <v>499</v>
      </c>
      <c r="K1124" s="118">
        <v>1</v>
      </c>
      <c r="L1124" s="118" t="s">
        <v>39</v>
      </c>
      <c r="M1124" s="119">
        <v>1</v>
      </c>
      <c r="N1124" s="104" t="s">
        <v>39</v>
      </c>
      <c r="O1124" s="120">
        <v>4</v>
      </c>
      <c r="P1124" s="104" t="s">
        <v>112</v>
      </c>
      <c r="Q1124" s="150">
        <f t="shared" si="516"/>
        <v>4</v>
      </c>
      <c r="R1124" s="148">
        <v>1</v>
      </c>
      <c r="S1124" s="150">
        <f t="shared" si="517"/>
        <v>5</v>
      </c>
      <c r="T1124" s="152" t="s">
        <v>48</v>
      </c>
    </row>
    <row r="1125" spans="3:21" ht="20.25" customHeight="1">
      <c r="C1125" s="96"/>
      <c r="D1125" s="102">
        <f t="shared" si="507"/>
        <v>1125</v>
      </c>
      <c r="E1125" s="106" t="s">
        <v>500</v>
      </c>
      <c r="F1125" s="108">
        <f t="shared" si="515"/>
        <v>1124</v>
      </c>
      <c r="G1125" s="105" t="s">
        <v>115</v>
      </c>
      <c r="H1125" s="105"/>
      <c r="I1125" s="104">
        <v>12</v>
      </c>
      <c r="J1125" s="104">
        <v>6</v>
      </c>
      <c r="K1125" s="118">
        <v>1</v>
      </c>
      <c r="L1125" s="118" t="s">
        <v>39</v>
      </c>
      <c r="M1125" s="142">
        <f>J1125*K1125</f>
        <v>6</v>
      </c>
      <c r="N1125" s="104" t="s">
        <v>139</v>
      </c>
      <c r="O1125" s="162">
        <f>VLOOKUP(I1125,BM!$B$3:$Y$62,22,FALSE)</f>
        <v>1.6</v>
      </c>
      <c r="P1125" s="104" t="s">
        <v>112</v>
      </c>
      <c r="Q1125" s="150">
        <f t="shared" si="516"/>
        <v>9.6000000000000014</v>
      </c>
      <c r="R1125" s="148">
        <v>1</v>
      </c>
      <c r="S1125" s="150">
        <f t="shared" si="517"/>
        <v>10.600000000000001</v>
      </c>
      <c r="T1125" s="152" t="s">
        <v>48</v>
      </c>
    </row>
    <row r="1126" spans="3:21" ht="20.25" customHeight="1">
      <c r="C1126" s="96">
        <f>D1126</f>
        <v>1126</v>
      </c>
      <c r="D1126" s="102">
        <f t="shared" si="507"/>
        <v>1126</v>
      </c>
      <c r="E1126" s="103" t="s">
        <v>772</v>
      </c>
      <c r="F1126" s="108">
        <f>D1122</f>
        <v>1122</v>
      </c>
      <c r="G1126" s="105"/>
      <c r="H1126" s="105"/>
      <c r="I1126" s="104"/>
      <c r="J1126" s="104"/>
      <c r="K1126" s="118"/>
      <c r="L1126" s="118"/>
      <c r="M1126" s="119"/>
      <c r="N1126" s="104"/>
      <c r="O1126" s="120"/>
      <c r="P1126" s="104"/>
      <c r="Q1126" s="150"/>
      <c r="R1126" s="148"/>
      <c r="S1126" s="150"/>
      <c r="T1126" s="149"/>
    </row>
    <row r="1127" spans="3:21" ht="20.25" customHeight="1">
      <c r="C1127" s="96"/>
      <c r="D1127" s="102">
        <f t="shared" si="507"/>
        <v>1127</v>
      </c>
      <c r="E1127" s="106" t="s">
        <v>502</v>
      </c>
      <c r="F1127" s="108">
        <f t="shared" ref="F1127:F1128" si="518">D1126</f>
        <v>1126</v>
      </c>
      <c r="G1127" s="105" t="s">
        <v>149</v>
      </c>
      <c r="H1127" s="105"/>
      <c r="I1127" s="104">
        <v>18</v>
      </c>
      <c r="J1127" s="104" t="s">
        <v>503</v>
      </c>
      <c r="K1127" s="118">
        <v>1</v>
      </c>
      <c r="L1127" s="118" t="s">
        <v>39</v>
      </c>
      <c r="M1127" s="119">
        <v>1</v>
      </c>
      <c r="N1127" s="104" t="s">
        <v>39</v>
      </c>
      <c r="O1127" s="120">
        <v>8</v>
      </c>
      <c r="P1127" s="104" t="s">
        <v>112</v>
      </c>
      <c r="Q1127" s="150">
        <f t="shared" ref="Q1127:Q1128" si="519">M1127*O1127</f>
        <v>8</v>
      </c>
      <c r="R1127" s="148">
        <v>1</v>
      </c>
      <c r="S1127" s="150">
        <f t="shared" ref="S1127:S1128" si="520">Q1127+R1127</f>
        <v>9</v>
      </c>
      <c r="T1127" s="152" t="s">
        <v>48</v>
      </c>
    </row>
    <row r="1128" spans="3:21" ht="20.25" customHeight="1">
      <c r="C1128" s="96"/>
      <c r="D1128" s="102">
        <f t="shared" si="507"/>
        <v>1128</v>
      </c>
      <c r="E1128" s="106" t="s">
        <v>504</v>
      </c>
      <c r="F1128" s="108">
        <f t="shared" si="518"/>
        <v>1127</v>
      </c>
      <c r="G1128" s="105" t="s">
        <v>63</v>
      </c>
      <c r="H1128" s="105"/>
      <c r="I1128" s="104">
        <v>18</v>
      </c>
      <c r="J1128" s="104" t="s">
        <v>503</v>
      </c>
      <c r="K1128" s="118">
        <v>1</v>
      </c>
      <c r="L1128" s="118" t="s">
        <v>39</v>
      </c>
      <c r="M1128" s="119">
        <v>1</v>
      </c>
      <c r="N1128" s="104" t="s">
        <v>39</v>
      </c>
      <c r="O1128" s="120">
        <v>1</v>
      </c>
      <c r="P1128" s="104" t="s">
        <v>41</v>
      </c>
      <c r="Q1128" s="150">
        <f t="shared" si="519"/>
        <v>1</v>
      </c>
      <c r="R1128" s="148"/>
      <c r="S1128" s="150">
        <f t="shared" si="520"/>
        <v>1</v>
      </c>
      <c r="T1128" s="152" t="str">
        <f>T1127</f>
        <v>Hrs</v>
      </c>
    </row>
    <row r="1129" spans="3:21" ht="20.25" customHeight="1">
      <c r="C1129" s="96">
        <f t="shared" ref="C1129:C1130" si="521">D1129</f>
        <v>1129</v>
      </c>
      <c r="D1129" s="102">
        <f t="shared" si="507"/>
        <v>1129</v>
      </c>
      <c r="E1129" s="163" t="s">
        <v>505</v>
      </c>
      <c r="F1129" s="108">
        <f>D1126</f>
        <v>1126</v>
      </c>
      <c r="G1129" s="105"/>
      <c r="H1129" s="105"/>
      <c r="I1129" s="104"/>
      <c r="J1129" s="104"/>
      <c r="K1129" s="118"/>
      <c r="L1129" s="118"/>
      <c r="M1129" s="119"/>
      <c r="N1129" s="104"/>
      <c r="O1129" s="120"/>
      <c r="P1129" s="104"/>
      <c r="Q1129" s="150"/>
      <c r="R1129" s="148"/>
      <c r="S1129" s="150"/>
      <c r="T1129" s="149"/>
    </row>
    <row r="1130" spans="3:21" ht="20.25" customHeight="1">
      <c r="C1130" s="96">
        <f t="shared" si="521"/>
        <v>1130</v>
      </c>
      <c r="D1130" s="102">
        <f t="shared" si="507"/>
        <v>1130</v>
      </c>
      <c r="E1130" s="103" t="s">
        <v>506</v>
      </c>
      <c r="F1130" s="108">
        <f>D635</f>
        <v>635</v>
      </c>
      <c r="G1130" s="105"/>
      <c r="H1130" s="105"/>
      <c r="I1130" s="104"/>
      <c r="J1130" s="104"/>
      <c r="K1130" s="118">
        <v>1</v>
      </c>
      <c r="L1130" s="141" t="s">
        <v>39</v>
      </c>
      <c r="M1130" s="119">
        <v>1</v>
      </c>
      <c r="N1130" s="132" t="s">
        <v>39</v>
      </c>
      <c r="O1130" s="120">
        <v>4</v>
      </c>
      <c r="P1130" s="132" t="s">
        <v>41</v>
      </c>
      <c r="Q1130" s="150">
        <f t="shared" ref="Q1130:Q1136" si="522">M1130*O1130</f>
        <v>4</v>
      </c>
      <c r="R1130" s="148"/>
      <c r="S1130" s="150">
        <f t="shared" ref="S1130:S1136" si="523">Q1130+R1130</f>
        <v>4</v>
      </c>
      <c r="T1130" s="152" t="s">
        <v>162</v>
      </c>
    </row>
    <row r="1131" spans="3:21" ht="20.25" customHeight="1">
      <c r="C1131" s="96"/>
      <c r="D1131" s="102">
        <f t="shared" si="507"/>
        <v>1131</v>
      </c>
      <c r="E1131" s="106" t="s">
        <v>507</v>
      </c>
      <c r="F1131" s="108">
        <f t="shared" ref="F1131:F1136" si="524">D1130</f>
        <v>1130</v>
      </c>
      <c r="G1131" s="105" t="s">
        <v>37</v>
      </c>
      <c r="H1131" s="105"/>
      <c r="I1131" s="104">
        <v>18</v>
      </c>
      <c r="J1131" s="132" t="s">
        <v>508</v>
      </c>
      <c r="K1131" s="118">
        <v>1</v>
      </c>
      <c r="L1131" s="118" t="s">
        <v>81</v>
      </c>
      <c r="M1131" s="128">
        <f>LEFT(J1131,SEARCH(" ",J1131,1)-1)*K1131/1000</f>
        <v>0.373</v>
      </c>
      <c r="N1131" s="104" t="s">
        <v>139</v>
      </c>
      <c r="O1131" s="162">
        <f>VLOOKUP(I1131,BM!$B$3:$Y$62,2,FALSE)</f>
        <v>0.1</v>
      </c>
      <c r="P1131" s="104" t="s">
        <v>47</v>
      </c>
      <c r="Q1131" s="150">
        <f t="shared" si="522"/>
        <v>3.73E-2</v>
      </c>
      <c r="R1131" s="148">
        <v>1</v>
      </c>
      <c r="S1131" s="150">
        <f t="shared" si="523"/>
        <v>1.0373000000000001</v>
      </c>
      <c r="T1131" s="152" t="s">
        <v>162</v>
      </c>
    </row>
    <row r="1132" spans="3:21" ht="20.25" customHeight="1">
      <c r="C1132" s="96"/>
      <c r="D1132" s="102">
        <f t="shared" si="507"/>
        <v>1132</v>
      </c>
      <c r="E1132" s="106" t="s">
        <v>509</v>
      </c>
      <c r="F1132" s="108">
        <f t="shared" si="524"/>
        <v>1131</v>
      </c>
      <c r="G1132" s="105" t="s">
        <v>201</v>
      </c>
      <c r="H1132" s="105"/>
      <c r="I1132" s="104">
        <v>18</v>
      </c>
      <c r="J1132" s="132" t="s">
        <v>510</v>
      </c>
      <c r="K1132" s="118">
        <v>1</v>
      </c>
      <c r="L1132" s="118" t="s">
        <v>81</v>
      </c>
      <c r="M1132" s="128">
        <f t="shared" ref="M1132:M1136" si="525">LEFT(J1132,SEARCH(" ",J1132,1)-1)*K1132/1000</f>
        <v>11.3</v>
      </c>
      <c r="N1132" s="104" t="s">
        <v>139</v>
      </c>
      <c r="O1132" s="162">
        <f>VLOOKUP(I1132,BM!$B$3:$Y$62,3,FALSE)</f>
        <v>0.25</v>
      </c>
      <c r="P1132" s="104" t="s">
        <v>47</v>
      </c>
      <c r="Q1132" s="150">
        <f t="shared" si="522"/>
        <v>2.8250000000000002</v>
      </c>
      <c r="R1132" s="148">
        <v>1</v>
      </c>
      <c r="S1132" s="150">
        <f t="shared" si="523"/>
        <v>3.8250000000000002</v>
      </c>
      <c r="T1132" s="152" t="s">
        <v>162</v>
      </c>
    </row>
    <row r="1133" spans="3:21" ht="20.25" customHeight="1">
      <c r="C1133" s="96"/>
      <c r="D1133" s="102">
        <f t="shared" si="507"/>
        <v>1133</v>
      </c>
      <c r="E1133" s="106" t="s">
        <v>511</v>
      </c>
      <c r="F1133" s="108">
        <f t="shared" si="524"/>
        <v>1132</v>
      </c>
      <c r="G1133" s="105" t="s">
        <v>52</v>
      </c>
      <c r="H1133" s="105"/>
      <c r="I1133" s="104">
        <v>18</v>
      </c>
      <c r="J1133" s="104" t="str">
        <f t="shared" ref="J1133:J1136" si="526">J1132</f>
        <v>11300 mm</v>
      </c>
      <c r="K1133" s="118">
        <v>1</v>
      </c>
      <c r="L1133" s="118" t="s">
        <v>81</v>
      </c>
      <c r="M1133" s="128">
        <f t="shared" si="525"/>
        <v>11.3</v>
      </c>
      <c r="N1133" s="104" t="s">
        <v>139</v>
      </c>
      <c r="O1133" s="162">
        <f>VLOOKUP(I1133,BM!$B$3:$Y$62,4,FALSE)</f>
        <v>0.15</v>
      </c>
      <c r="P1133" s="104" t="s">
        <v>47</v>
      </c>
      <c r="Q1133" s="150">
        <f t="shared" si="522"/>
        <v>1.6950000000000001</v>
      </c>
      <c r="R1133" s="148">
        <v>1</v>
      </c>
      <c r="S1133" s="150">
        <f t="shared" si="523"/>
        <v>2.6950000000000003</v>
      </c>
      <c r="T1133" s="152" t="s">
        <v>162</v>
      </c>
    </row>
    <row r="1134" spans="3:21" ht="20.25" customHeight="1">
      <c r="C1134" s="96"/>
      <c r="D1134" s="102">
        <f t="shared" si="507"/>
        <v>1134</v>
      </c>
      <c r="E1134" s="106" t="s">
        <v>512</v>
      </c>
      <c r="F1134" s="108">
        <f t="shared" si="524"/>
        <v>1133</v>
      </c>
      <c r="G1134" s="105" t="s">
        <v>61</v>
      </c>
      <c r="H1134" s="105"/>
      <c r="I1134" s="104">
        <v>18</v>
      </c>
      <c r="J1134" s="104" t="str">
        <f t="shared" si="526"/>
        <v>11300 mm</v>
      </c>
      <c r="K1134" s="118">
        <v>1</v>
      </c>
      <c r="L1134" s="118" t="s">
        <v>81</v>
      </c>
      <c r="M1134" s="128">
        <f t="shared" si="525"/>
        <v>11.3</v>
      </c>
      <c r="N1134" s="104" t="s">
        <v>139</v>
      </c>
      <c r="O1134" s="162">
        <f>VLOOKUP(I1134,BM!$B$3:$Y$62,5,FALSE)</f>
        <v>0.5</v>
      </c>
      <c r="P1134" s="104" t="s">
        <v>47</v>
      </c>
      <c r="Q1134" s="150">
        <f t="shared" si="522"/>
        <v>5.65</v>
      </c>
      <c r="R1134" s="148">
        <v>1</v>
      </c>
      <c r="S1134" s="150">
        <f t="shared" si="523"/>
        <v>6.65</v>
      </c>
      <c r="T1134" s="152" t="s">
        <v>162</v>
      </c>
    </row>
    <row r="1135" spans="3:21" ht="20.25" customHeight="1">
      <c r="C1135" s="96"/>
      <c r="D1135" s="102">
        <f t="shared" si="507"/>
        <v>1135</v>
      </c>
      <c r="E1135" s="106" t="s">
        <v>513</v>
      </c>
      <c r="F1135" s="108">
        <f t="shared" si="524"/>
        <v>1134</v>
      </c>
      <c r="G1135" s="105" t="s">
        <v>224</v>
      </c>
      <c r="H1135" s="105"/>
      <c r="I1135" s="104">
        <v>18</v>
      </c>
      <c r="J1135" s="104" t="str">
        <f t="shared" si="526"/>
        <v>11300 mm</v>
      </c>
      <c r="K1135" s="118">
        <v>1</v>
      </c>
      <c r="L1135" s="118" t="s">
        <v>81</v>
      </c>
      <c r="M1135" s="128">
        <f t="shared" si="525"/>
        <v>11.3</v>
      </c>
      <c r="N1135" s="104" t="s">
        <v>139</v>
      </c>
      <c r="O1135" s="162">
        <f>VLOOKUP(I1135,BM!$B$3:$Y$62,6,FALSE)</f>
        <v>1</v>
      </c>
      <c r="P1135" s="104" t="s">
        <v>47</v>
      </c>
      <c r="Q1135" s="150">
        <f t="shared" si="522"/>
        <v>11.3</v>
      </c>
      <c r="R1135" s="148">
        <v>1</v>
      </c>
      <c r="S1135" s="150">
        <f t="shared" si="523"/>
        <v>12.3</v>
      </c>
      <c r="T1135" s="152" t="s">
        <v>162</v>
      </c>
    </row>
    <row r="1136" spans="3:21" ht="20.25" customHeight="1">
      <c r="C1136" s="96"/>
      <c r="D1136" s="102">
        <f t="shared" si="507"/>
        <v>1136</v>
      </c>
      <c r="E1136" s="106" t="s">
        <v>416</v>
      </c>
      <c r="F1136" s="108">
        <f t="shared" si="524"/>
        <v>1135</v>
      </c>
      <c r="G1136" s="105" t="s">
        <v>61</v>
      </c>
      <c r="H1136" s="105"/>
      <c r="I1136" s="104">
        <v>18</v>
      </c>
      <c r="J1136" s="104" t="str">
        <f t="shared" si="526"/>
        <v>11300 mm</v>
      </c>
      <c r="K1136" s="118">
        <v>1</v>
      </c>
      <c r="L1136" s="118" t="s">
        <v>81</v>
      </c>
      <c r="M1136" s="128">
        <f t="shared" si="525"/>
        <v>11.3</v>
      </c>
      <c r="N1136" s="104" t="s">
        <v>139</v>
      </c>
      <c r="O1136" s="162">
        <f>VLOOKUP(I1136,BM!$B$3:$Y$62,6,FALSE)</f>
        <v>1</v>
      </c>
      <c r="P1136" s="104" t="s">
        <v>47</v>
      </c>
      <c r="Q1136" s="150">
        <f t="shared" si="522"/>
        <v>11.3</v>
      </c>
      <c r="R1136" s="148">
        <v>1</v>
      </c>
      <c r="S1136" s="150">
        <f t="shared" si="523"/>
        <v>12.3</v>
      </c>
      <c r="T1136" s="152" t="s">
        <v>162</v>
      </c>
    </row>
    <row r="1137" spans="3:20" ht="20.25" customHeight="1">
      <c r="C1137" s="96">
        <f>D1137</f>
        <v>1137</v>
      </c>
      <c r="D1137" s="102">
        <f t="shared" si="507"/>
        <v>1137</v>
      </c>
      <c r="E1137" s="103" t="s">
        <v>773</v>
      </c>
      <c r="F1137" s="108">
        <f>D1130</f>
        <v>1130</v>
      </c>
      <c r="G1137" s="105"/>
      <c r="H1137" s="105"/>
      <c r="I1137" s="104"/>
      <c r="J1137" s="104"/>
      <c r="K1137" s="118"/>
      <c r="L1137" s="118"/>
      <c r="M1137" s="119"/>
      <c r="N1137" s="104"/>
      <c r="O1137" s="120"/>
      <c r="P1137" s="104"/>
      <c r="Q1137" s="150"/>
      <c r="R1137" s="148"/>
      <c r="S1137" s="150"/>
      <c r="T1137" s="149"/>
    </row>
    <row r="1138" spans="3:20" ht="20.25" customHeight="1">
      <c r="C1138" s="96"/>
      <c r="D1138" s="102">
        <f t="shared" si="507"/>
        <v>1138</v>
      </c>
      <c r="E1138" s="106" t="s">
        <v>515</v>
      </c>
      <c r="F1138" s="108">
        <f t="shared" ref="F1138:F1141" si="527">D1137</f>
        <v>1137</v>
      </c>
      <c r="G1138" s="105" t="s">
        <v>286</v>
      </c>
      <c r="H1138" s="105"/>
      <c r="I1138" s="108">
        <f>I1136</f>
        <v>18</v>
      </c>
      <c r="J1138" s="112" t="s">
        <v>516</v>
      </c>
      <c r="K1138" s="118">
        <v>1</v>
      </c>
      <c r="L1138" s="118" t="s">
        <v>81</v>
      </c>
      <c r="M1138" s="119">
        <v>1</v>
      </c>
      <c r="N1138" s="104" t="s">
        <v>139</v>
      </c>
      <c r="O1138" s="120">
        <v>3</v>
      </c>
      <c r="P1138" s="104" t="s">
        <v>112</v>
      </c>
      <c r="Q1138" s="150">
        <f t="shared" ref="Q1138:Q1141" si="528">M1138*O1138</f>
        <v>3</v>
      </c>
      <c r="R1138" s="148">
        <v>1</v>
      </c>
      <c r="S1138" s="150">
        <f t="shared" ref="S1138:S1141" si="529">Q1138+R1138</f>
        <v>4</v>
      </c>
      <c r="T1138" s="152" t="s">
        <v>162</v>
      </c>
    </row>
    <row r="1139" spans="3:20" ht="20.25" customHeight="1">
      <c r="C1139" s="96"/>
      <c r="D1139" s="102">
        <f t="shared" si="507"/>
        <v>1139</v>
      </c>
      <c r="E1139" s="106" t="s">
        <v>517</v>
      </c>
      <c r="F1139" s="108">
        <f t="shared" si="527"/>
        <v>1138</v>
      </c>
      <c r="G1139" s="105" t="s">
        <v>420</v>
      </c>
      <c r="H1139" s="105"/>
      <c r="I1139" s="108">
        <f t="shared" ref="I1139:J1139" si="530">I1138</f>
        <v>18</v>
      </c>
      <c r="J1139" s="108" t="str">
        <f t="shared" si="530"/>
        <v>1664 mm id</v>
      </c>
      <c r="K1139" s="118">
        <v>1</v>
      </c>
      <c r="L1139" s="118" t="s">
        <v>81</v>
      </c>
      <c r="M1139" s="128">
        <f>LEFT(J1139,SEARCH(" ",J1139,1)-1)*K1139*2/1000</f>
        <v>3.3279999999999998</v>
      </c>
      <c r="N1139" s="132" t="s">
        <v>39</v>
      </c>
      <c r="O1139" s="162">
        <f>VLOOKUP(I1139,BM!$B$3:$Y$62,8,FALSE)</f>
        <v>0.3</v>
      </c>
      <c r="P1139" s="104" t="s">
        <v>112</v>
      </c>
      <c r="Q1139" s="150">
        <f t="shared" si="528"/>
        <v>0.99839999999999995</v>
      </c>
      <c r="R1139" s="148">
        <v>1</v>
      </c>
      <c r="S1139" s="150">
        <f t="shared" si="529"/>
        <v>1.9984</v>
      </c>
      <c r="T1139" s="152" t="s">
        <v>162</v>
      </c>
    </row>
    <row r="1140" spans="3:20" ht="20.25" customHeight="1">
      <c r="C1140" s="96"/>
      <c r="D1140" s="102">
        <f t="shared" si="507"/>
        <v>1140</v>
      </c>
      <c r="E1140" s="106" t="s">
        <v>518</v>
      </c>
      <c r="F1140" s="108">
        <f t="shared" si="527"/>
        <v>1139</v>
      </c>
      <c r="G1140" s="105" t="s">
        <v>348</v>
      </c>
      <c r="H1140" s="105"/>
      <c r="I1140" s="108">
        <f t="shared" ref="I1140:J1140" si="531">I1139</f>
        <v>18</v>
      </c>
      <c r="J1140" s="108" t="str">
        <f t="shared" si="531"/>
        <v>1664 mm id</v>
      </c>
      <c r="K1140" s="118">
        <v>1</v>
      </c>
      <c r="L1140" s="118" t="s">
        <v>81</v>
      </c>
      <c r="M1140" s="128">
        <f>LEFT(J1140,SEARCH(" ",J1140,1)-1)*K1140*2/1000</f>
        <v>3.3279999999999998</v>
      </c>
      <c r="N1140" s="104" t="s">
        <v>139</v>
      </c>
      <c r="O1140" s="162">
        <f>VLOOKUP(I1140,BM!$B$3:$Y$62,9,FALSE)</f>
        <v>1</v>
      </c>
      <c r="P1140" s="104" t="s">
        <v>112</v>
      </c>
      <c r="Q1140" s="150">
        <f t="shared" si="528"/>
        <v>3.3279999999999998</v>
      </c>
      <c r="R1140" s="148">
        <v>1</v>
      </c>
      <c r="S1140" s="150">
        <f t="shared" si="529"/>
        <v>4.3279999999999994</v>
      </c>
      <c r="T1140" s="152" t="s">
        <v>162</v>
      </c>
    </row>
    <row r="1141" spans="3:20" ht="20.25" customHeight="1">
      <c r="C1141" s="96"/>
      <c r="D1141" s="102">
        <f t="shared" si="507"/>
        <v>1141</v>
      </c>
      <c r="E1141" s="106" t="s">
        <v>519</v>
      </c>
      <c r="F1141" s="108">
        <f t="shared" si="527"/>
        <v>1140</v>
      </c>
      <c r="G1141" s="105" t="s">
        <v>286</v>
      </c>
      <c r="H1141" s="105"/>
      <c r="I1141" s="108">
        <f t="shared" ref="I1141:J1141" si="532">I1140</f>
        <v>18</v>
      </c>
      <c r="J1141" s="108" t="str">
        <f t="shared" si="532"/>
        <v>1664 mm id</v>
      </c>
      <c r="K1141" s="118">
        <v>1</v>
      </c>
      <c r="L1141" s="118" t="s">
        <v>81</v>
      </c>
      <c r="M1141" s="128">
        <v>1</v>
      </c>
      <c r="N1141" s="132" t="s">
        <v>39</v>
      </c>
      <c r="O1141" s="120">
        <v>3</v>
      </c>
      <c r="P1141" s="104" t="s">
        <v>112</v>
      </c>
      <c r="Q1141" s="150">
        <f t="shared" si="528"/>
        <v>3</v>
      </c>
      <c r="R1141" s="148">
        <v>1</v>
      </c>
      <c r="S1141" s="150">
        <f t="shared" si="529"/>
        <v>4</v>
      </c>
      <c r="T1141" s="152" t="s">
        <v>162</v>
      </c>
    </row>
    <row r="1142" spans="3:20" ht="20.25" customHeight="1">
      <c r="C1142" s="96">
        <f>D1142</f>
        <v>1142</v>
      </c>
      <c r="D1142" s="102">
        <f t="shared" si="507"/>
        <v>1142</v>
      </c>
      <c r="E1142" s="103" t="s">
        <v>520</v>
      </c>
      <c r="F1142" s="108">
        <f>D1137</f>
        <v>1137</v>
      </c>
      <c r="G1142" s="105"/>
      <c r="H1142" s="105"/>
      <c r="I1142" s="104"/>
      <c r="J1142" s="104"/>
      <c r="K1142" s="118"/>
      <c r="L1142" s="118"/>
      <c r="M1142" s="119"/>
      <c r="N1142" s="104"/>
      <c r="O1142" s="120"/>
      <c r="P1142" s="104"/>
      <c r="Q1142" s="150"/>
      <c r="R1142" s="148"/>
      <c r="S1142" s="150"/>
      <c r="T1142" s="149"/>
    </row>
    <row r="1143" spans="3:20" ht="20.25" customHeight="1">
      <c r="C1143" s="96"/>
      <c r="D1143" s="102">
        <f t="shared" si="507"/>
        <v>1143</v>
      </c>
      <c r="E1143" s="106" t="s">
        <v>521</v>
      </c>
      <c r="F1143" s="108">
        <f t="shared" ref="F1143:F1144" si="533">D1142</f>
        <v>1142</v>
      </c>
      <c r="G1143" s="105" t="s">
        <v>348</v>
      </c>
      <c r="H1143" s="105"/>
      <c r="I1143" s="108">
        <f>I1141</f>
        <v>18</v>
      </c>
      <c r="J1143" s="108" t="str">
        <f>J1141</f>
        <v>1664 mm id</v>
      </c>
      <c r="K1143" s="118">
        <v>1</v>
      </c>
      <c r="L1143" s="118" t="s">
        <v>81</v>
      </c>
      <c r="M1143" s="128">
        <f t="shared" ref="M1143" si="534">LEFT(J1143,SEARCH(" ",J1143,1)-1)*K1143*2/1000</f>
        <v>3.3279999999999998</v>
      </c>
      <c r="N1143" s="104" t="s">
        <v>139</v>
      </c>
      <c r="O1143" s="162">
        <f>VLOOKUP(I1143,BM!$B$3:$Y$62,9,FALSE)</f>
        <v>1</v>
      </c>
      <c r="P1143" s="104" t="s">
        <v>112</v>
      </c>
      <c r="Q1143" s="150">
        <f t="shared" ref="Q1143:Q1144" si="535">M1143*O1143</f>
        <v>3.3279999999999998</v>
      </c>
      <c r="R1143" s="148">
        <v>1</v>
      </c>
      <c r="S1143" s="150">
        <f t="shared" ref="S1143:S1144" si="536">Q1143+R1143</f>
        <v>4.3279999999999994</v>
      </c>
      <c r="T1143" s="152" t="s">
        <v>162</v>
      </c>
    </row>
    <row r="1144" spans="3:20" ht="20.25" customHeight="1">
      <c r="C1144" s="96"/>
      <c r="D1144" s="102">
        <f t="shared" si="507"/>
        <v>1144</v>
      </c>
      <c r="E1144" s="106" t="s">
        <v>522</v>
      </c>
      <c r="F1144" s="108">
        <f t="shared" si="533"/>
        <v>1143</v>
      </c>
      <c r="G1144" s="105" t="s">
        <v>111</v>
      </c>
      <c r="H1144" s="105"/>
      <c r="I1144" s="108">
        <f>I1143</f>
        <v>18</v>
      </c>
      <c r="J1144" s="108" t="str">
        <f>J1141</f>
        <v>1664 mm id</v>
      </c>
      <c r="K1144" s="118">
        <v>1</v>
      </c>
      <c r="L1144" s="118" t="s">
        <v>81</v>
      </c>
      <c r="M1144" s="128">
        <f>LEFT(J1144,SEARCH(" ",J1144,1)-1)*K1144/1000</f>
        <v>1.6639999999999999</v>
      </c>
      <c r="N1144" s="104" t="s">
        <v>139</v>
      </c>
      <c r="O1144" s="162">
        <f>VLOOKUP(I1144,BM!$B$3:$Y$62,10,FALSE)</f>
        <v>1</v>
      </c>
      <c r="P1144" s="104" t="s">
        <v>112</v>
      </c>
      <c r="Q1144" s="150">
        <f t="shared" si="535"/>
        <v>1.6639999999999999</v>
      </c>
      <c r="R1144" s="148">
        <v>1</v>
      </c>
      <c r="S1144" s="150">
        <f t="shared" si="536"/>
        <v>2.6639999999999997</v>
      </c>
      <c r="T1144" s="152" t="s">
        <v>162</v>
      </c>
    </row>
    <row r="1145" spans="3:20" ht="20.25" customHeight="1">
      <c r="C1145" s="96">
        <f>D1145</f>
        <v>1145</v>
      </c>
      <c r="D1145" s="102">
        <f t="shared" si="507"/>
        <v>1145</v>
      </c>
      <c r="E1145" s="103" t="s">
        <v>523</v>
      </c>
      <c r="F1145" s="108">
        <f>D1142</f>
        <v>1142</v>
      </c>
      <c r="G1145" s="105"/>
      <c r="H1145" s="105"/>
      <c r="I1145" s="104"/>
      <c r="J1145" s="104"/>
      <c r="K1145" s="118"/>
      <c r="L1145" s="118"/>
      <c r="M1145" s="119"/>
      <c r="N1145" s="104"/>
      <c r="O1145" s="120"/>
      <c r="P1145" s="104"/>
      <c r="Q1145" s="150"/>
      <c r="R1145" s="148"/>
      <c r="S1145" s="150"/>
      <c r="T1145" s="149"/>
    </row>
    <row r="1146" spans="3:20" ht="20.25" customHeight="1">
      <c r="C1146" s="96"/>
      <c r="D1146" s="102">
        <f t="shared" si="507"/>
        <v>1146</v>
      </c>
      <c r="E1146" s="106" t="s">
        <v>524</v>
      </c>
      <c r="F1146" s="108">
        <f t="shared" ref="F1146:F1151" si="537">D1145</f>
        <v>1145</v>
      </c>
      <c r="G1146" s="105" t="s">
        <v>201</v>
      </c>
      <c r="H1146" s="105"/>
      <c r="I1146" s="108">
        <f>I1144</f>
        <v>18</v>
      </c>
      <c r="J1146" s="108" t="str">
        <f t="shared" ref="J1146" si="538">J1144</f>
        <v>1664 mm id</v>
      </c>
      <c r="K1146" s="118">
        <v>1</v>
      </c>
      <c r="L1146" s="118" t="s">
        <v>81</v>
      </c>
      <c r="M1146" s="119">
        <v>1</v>
      </c>
      <c r="N1146" s="104" t="s">
        <v>39</v>
      </c>
      <c r="O1146" s="120">
        <v>1</v>
      </c>
      <c r="P1146" s="104" t="s">
        <v>112</v>
      </c>
      <c r="Q1146" s="150">
        <f t="shared" ref="Q1146:Q1151" si="539">M1146*O1146</f>
        <v>1</v>
      </c>
      <c r="R1146" s="148">
        <v>1</v>
      </c>
      <c r="S1146" s="150">
        <f t="shared" ref="S1146:S1151" si="540">Q1146+R1146</f>
        <v>2</v>
      </c>
      <c r="T1146" s="152" t="s">
        <v>162</v>
      </c>
    </row>
    <row r="1147" spans="3:20" ht="20.25" customHeight="1">
      <c r="C1147" s="96"/>
      <c r="D1147" s="102">
        <f t="shared" si="507"/>
        <v>1147</v>
      </c>
      <c r="E1147" s="106" t="s">
        <v>525</v>
      </c>
      <c r="F1147" s="108">
        <f t="shared" si="537"/>
        <v>1146</v>
      </c>
      <c r="G1147" s="105" t="s">
        <v>115</v>
      </c>
      <c r="H1147" s="105"/>
      <c r="I1147" s="104">
        <v>12</v>
      </c>
      <c r="J1147" s="108" t="str">
        <f t="shared" ref="J1147:J1151" si="541">J1146</f>
        <v>1664 mm id</v>
      </c>
      <c r="K1147" s="118">
        <v>1</v>
      </c>
      <c r="L1147" s="118" t="s">
        <v>81</v>
      </c>
      <c r="M1147" s="128">
        <f t="shared" ref="M1147:M1150" si="542">LEFT(J1147,SEARCH(" ",J1147,1)-1)*K1147/1000</f>
        <v>1.6639999999999999</v>
      </c>
      <c r="N1147" s="104" t="s">
        <v>139</v>
      </c>
      <c r="O1147" s="162">
        <f>VLOOKUP(I1147,BM!$B$3:$Y$62,12,FALSE)</f>
        <v>2.5</v>
      </c>
      <c r="P1147" s="104" t="s">
        <v>112</v>
      </c>
      <c r="Q1147" s="150">
        <f t="shared" si="539"/>
        <v>4.16</v>
      </c>
      <c r="R1147" s="148">
        <v>1</v>
      </c>
      <c r="S1147" s="150">
        <f t="shared" si="540"/>
        <v>5.16</v>
      </c>
      <c r="T1147" s="152" t="s">
        <v>162</v>
      </c>
    </row>
    <row r="1148" spans="3:20" ht="20.25" customHeight="1">
      <c r="C1148" s="96"/>
      <c r="D1148" s="102">
        <f t="shared" si="507"/>
        <v>1148</v>
      </c>
      <c r="E1148" s="106" t="s">
        <v>526</v>
      </c>
      <c r="F1148" s="108">
        <f t="shared" si="537"/>
        <v>1147</v>
      </c>
      <c r="G1148" s="105" t="s">
        <v>121</v>
      </c>
      <c r="H1148" s="105"/>
      <c r="I1148" s="104">
        <v>18</v>
      </c>
      <c r="J1148" s="108" t="str">
        <f t="shared" si="541"/>
        <v>1664 mm id</v>
      </c>
      <c r="K1148" s="118">
        <v>1</v>
      </c>
      <c r="L1148" s="118" t="s">
        <v>81</v>
      </c>
      <c r="M1148" s="128">
        <f t="shared" si="542"/>
        <v>1.6639999999999999</v>
      </c>
      <c r="N1148" s="104" t="s">
        <v>139</v>
      </c>
      <c r="O1148" s="162">
        <f>VLOOKUP(I1148,BM!$B$3:$Y$62,18,FALSE)</f>
        <v>1</v>
      </c>
      <c r="P1148" s="104" t="s">
        <v>112</v>
      </c>
      <c r="Q1148" s="150">
        <f t="shared" si="539"/>
        <v>1.6639999999999999</v>
      </c>
      <c r="R1148" s="148">
        <v>1</v>
      </c>
      <c r="S1148" s="150">
        <f t="shared" si="540"/>
        <v>2.6639999999999997</v>
      </c>
      <c r="T1148" s="152" t="s">
        <v>162</v>
      </c>
    </row>
    <row r="1149" spans="3:20" ht="20.25" customHeight="1">
      <c r="C1149" s="96"/>
      <c r="D1149" s="102">
        <f t="shared" si="507"/>
        <v>1149</v>
      </c>
      <c r="E1149" s="106" t="s">
        <v>527</v>
      </c>
      <c r="F1149" s="108">
        <f t="shared" si="537"/>
        <v>1148</v>
      </c>
      <c r="G1149" s="105" t="s">
        <v>115</v>
      </c>
      <c r="H1149" s="105"/>
      <c r="I1149" s="104">
        <v>6</v>
      </c>
      <c r="J1149" s="108" t="str">
        <f t="shared" si="541"/>
        <v>1664 mm id</v>
      </c>
      <c r="K1149" s="118">
        <v>1</v>
      </c>
      <c r="L1149" s="118" t="s">
        <v>81</v>
      </c>
      <c r="M1149" s="128">
        <f t="shared" si="542"/>
        <v>1.6639999999999999</v>
      </c>
      <c r="N1149" s="104" t="s">
        <v>139</v>
      </c>
      <c r="O1149" s="162">
        <f>VLOOKUP(I1149,BM!$B$3:$Y$62,12,FALSE)</f>
        <v>0.9</v>
      </c>
      <c r="P1149" s="104" t="s">
        <v>112</v>
      </c>
      <c r="Q1149" s="150">
        <f t="shared" si="539"/>
        <v>1.4976</v>
      </c>
      <c r="R1149" s="148">
        <v>1</v>
      </c>
      <c r="S1149" s="150">
        <f t="shared" si="540"/>
        <v>2.4976000000000003</v>
      </c>
      <c r="T1149" s="152" t="s">
        <v>162</v>
      </c>
    </row>
    <row r="1150" spans="3:20" ht="20.25" customHeight="1">
      <c r="C1150" s="96"/>
      <c r="D1150" s="102">
        <f t="shared" si="507"/>
        <v>1150</v>
      </c>
      <c r="E1150" s="106" t="s">
        <v>528</v>
      </c>
      <c r="F1150" s="108">
        <f t="shared" si="537"/>
        <v>1149</v>
      </c>
      <c r="G1150" s="105" t="s">
        <v>61</v>
      </c>
      <c r="H1150" s="105"/>
      <c r="I1150" s="104">
        <v>6</v>
      </c>
      <c r="J1150" s="108" t="str">
        <f t="shared" si="541"/>
        <v>1664 mm id</v>
      </c>
      <c r="K1150" s="118">
        <v>1</v>
      </c>
      <c r="L1150" s="118" t="s">
        <v>81</v>
      </c>
      <c r="M1150" s="128">
        <f t="shared" si="542"/>
        <v>1.6639999999999999</v>
      </c>
      <c r="N1150" s="104" t="s">
        <v>139</v>
      </c>
      <c r="O1150" s="162">
        <f>VLOOKUP(I1150,BM!$B$3:$Y$62,20,FALSE)</f>
        <v>0.5</v>
      </c>
      <c r="P1150" s="104" t="s">
        <v>112</v>
      </c>
      <c r="Q1150" s="150">
        <f t="shared" si="539"/>
        <v>0.83199999999999996</v>
      </c>
      <c r="R1150" s="148">
        <v>1</v>
      </c>
      <c r="S1150" s="150">
        <f t="shared" si="540"/>
        <v>1.8319999999999999</v>
      </c>
      <c r="T1150" s="152" t="s">
        <v>162</v>
      </c>
    </row>
    <row r="1151" spans="3:20" ht="20.25" customHeight="1">
      <c r="C1151" s="96"/>
      <c r="D1151" s="102">
        <f t="shared" si="507"/>
        <v>1151</v>
      </c>
      <c r="E1151" s="106" t="s">
        <v>529</v>
      </c>
      <c r="F1151" s="108">
        <f t="shared" si="537"/>
        <v>1150</v>
      </c>
      <c r="G1151" s="105" t="s">
        <v>286</v>
      </c>
      <c r="H1151" s="105"/>
      <c r="I1151" s="104">
        <v>18</v>
      </c>
      <c r="J1151" s="108" t="str">
        <f t="shared" si="541"/>
        <v>1664 mm id</v>
      </c>
      <c r="K1151" s="118">
        <v>1</v>
      </c>
      <c r="L1151" s="118" t="s">
        <v>81</v>
      </c>
      <c r="M1151" s="119">
        <v>1</v>
      </c>
      <c r="N1151" s="104" t="s">
        <v>139</v>
      </c>
      <c r="O1151" s="120">
        <v>3</v>
      </c>
      <c r="P1151" s="104" t="s">
        <v>112</v>
      </c>
      <c r="Q1151" s="150">
        <f t="shared" si="539"/>
        <v>3</v>
      </c>
      <c r="R1151" s="148">
        <v>1</v>
      </c>
      <c r="S1151" s="150">
        <f t="shared" si="540"/>
        <v>4</v>
      </c>
      <c r="T1151" s="152" t="s">
        <v>162</v>
      </c>
    </row>
    <row r="1152" spans="3:20" ht="20.25" customHeight="1">
      <c r="C1152" s="96">
        <f>D1152</f>
        <v>1152</v>
      </c>
      <c r="D1152" s="102">
        <f t="shared" si="507"/>
        <v>1152</v>
      </c>
      <c r="E1152" s="103" t="s">
        <v>530</v>
      </c>
      <c r="F1152" s="108">
        <f>D1145</f>
        <v>1145</v>
      </c>
      <c r="G1152" s="105"/>
      <c r="H1152" s="105"/>
      <c r="I1152" s="104"/>
      <c r="J1152" s="104"/>
      <c r="K1152" s="118"/>
      <c r="L1152" s="118"/>
      <c r="M1152" s="119"/>
      <c r="N1152" s="104"/>
      <c r="O1152" s="120"/>
      <c r="P1152" s="104"/>
      <c r="Q1152" s="150"/>
      <c r="R1152" s="148"/>
      <c r="S1152" s="150"/>
      <c r="T1152" s="149"/>
    </row>
    <row r="1153" spans="3:20" ht="20.25" customHeight="1">
      <c r="C1153" s="96"/>
      <c r="D1153" s="102">
        <f t="shared" si="507"/>
        <v>1153</v>
      </c>
      <c r="E1153" s="106" t="s">
        <v>531</v>
      </c>
      <c r="F1153" s="108">
        <f t="shared" ref="F1153" si="543">D1152</f>
        <v>1152</v>
      </c>
      <c r="G1153" s="105" t="s">
        <v>312</v>
      </c>
      <c r="H1153" s="105"/>
      <c r="I1153" s="108">
        <f>I1151</f>
        <v>18</v>
      </c>
      <c r="J1153" s="108" t="str">
        <f t="shared" ref="J1153:M1153" si="544">J1151</f>
        <v>1664 mm id</v>
      </c>
      <c r="K1153" s="164">
        <f t="shared" si="544"/>
        <v>1</v>
      </c>
      <c r="L1153" s="164" t="str">
        <f t="shared" si="544"/>
        <v>Nos</v>
      </c>
      <c r="M1153" s="108">
        <f t="shared" si="544"/>
        <v>1</v>
      </c>
      <c r="N1153" s="104" t="s">
        <v>39</v>
      </c>
      <c r="O1153" s="120">
        <v>1</v>
      </c>
      <c r="P1153" s="104" t="s">
        <v>41</v>
      </c>
      <c r="Q1153" s="150">
        <f t="shared" ref="Q1153" si="545">M1153*O1153</f>
        <v>1</v>
      </c>
      <c r="R1153" s="108"/>
      <c r="S1153" s="150">
        <f t="shared" ref="S1153" si="546">Q1153+R1153</f>
        <v>1</v>
      </c>
      <c r="T1153" s="132" t="s">
        <v>41</v>
      </c>
    </row>
    <row r="1154" spans="3:20" ht="20.25" customHeight="1">
      <c r="C1154" s="96">
        <f>D1154</f>
        <v>1154</v>
      </c>
      <c r="D1154" s="102">
        <f t="shared" si="507"/>
        <v>1154</v>
      </c>
      <c r="E1154" s="103" t="s">
        <v>532</v>
      </c>
      <c r="F1154" s="108">
        <f>D1152</f>
        <v>1152</v>
      </c>
      <c r="G1154" s="105"/>
      <c r="H1154" s="105"/>
      <c r="I1154" s="104"/>
      <c r="J1154" s="104"/>
      <c r="K1154" s="118"/>
      <c r="L1154" s="118"/>
      <c r="M1154" s="119"/>
      <c r="N1154" s="104"/>
      <c r="O1154" s="120"/>
      <c r="P1154" s="104"/>
      <c r="Q1154" s="150"/>
      <c r="R1154" s="148"/>
      <c r="S1154" s="150"/>
      <c r="T1154" s="149"/>
    </row>
    <row r="1155" spans="3:20" ht="20.25" customHeight="1">
      <c r="C1155" s="96"/>
      <c r="D1155" s="102">
        <f t="shared" si="507"/>
        <v>1155</v>
      </c>
      <c r="E1155" s="106" t="s">
        <v>533</v>
      </c>
      <c r="F1155" s="108">
        <f t="shared" ref="F1155:F1157" si="547">D1154</f>
        <v>1154</v>
      </c>
      <c r="G1155" s="105" t="s">
        <v>348</v>
      </c>
      <c r="H1155" s="105"/>
      <c r="I1155" s="104">
        <v>18</v>
      </c>
      <c r="J1155" s="108" t="str">
        <f>J1153</f>
        <v>1664 mm id</v>
      </c>
      <c r="K1155" s="118">
        <v>1</v>
      </c>
      <c r="L1155" s="118" t="s">
        <v>81</v>
      </c>
      <c r="M1155" s="128">
        <f>LEFT(J1155,SEARCH(" ",J1155,1)-1)*K1155*3.142/1000</f>
        <v>5.2282879999999992</v>
      </c>
      <c r="N1155" s="104" t="s">
        <v>139</v>
      </c>
      <c r="O1155" s="162">
        <f>VLOOKUP(I1155,BM!$B$3:$Y$62,15,FALSE)</f>
        <v>1</v>
      </c>
      <c r="P1155" s="104" t="s">
        <v>112</v>
      </c>
      <c r="Q1155" s="150">
        <f t="shared" ref="Q1155:Q1157" si="548">M1155*O1155</f>
        <v>5.2282879999999992</v>
      </c>
      <c r="R1155" s="148">
        <v>1</v>
      </c>
      <c r="S1155" s="150">
        <f t="shared" ref="S1155:S1157" si="549">Q1155+R1155</f>
        <v>6.2282879999999992</v>
      </c>
      <c r="T1155" s="152" t="s">
        <v>48</v>
      </c>
    </row>
    <row r="1156" spans="3:20" ht="20.25" customHeight="1">
      <c r="C1156" s="96"/>
      <c r="D1156" s="102">
        <f t="shared" si="507"/>
        <v>1156</v>
      </c>
      <c r="E1156" s="106" t="s">
        <v>534</v>
      </c>
      <c r="F1156" s="108">
        <f t="shared" si="547"/>
        <v>1155</v>
      </c>
      <c r="G1156" s="105" t="s">
        <v>111</v>
      </c>
      <c r="H1156" s="105"/>
      <c r="I1156" s="104">
        <v>18</v>
      </c>
      <c r="J1156" s="108" t="str">
        <f>J1155</f>
        <v>1664 mm id</v>
      </c>
      <c r="K1156" s="118">
        <v>1</v>
      </c>
      <c r="L1156" s="118" t="s">
        <v>81</v>
      </c>
      <c r="M1156" s="128">
        <f>LEFT(J1156,SEARCH(" ",J1156,1)-1)*K1156*3.142/1000</f>
        <v>5.2282879999999992</v>
      </c>
      <c r="N1156" s="132" t="s">
        <v>39</v>
      </c>
      <c r="O1156" s="162">
        <f>VLOOKUP(I1156,BM!$B$3:$Y$62,16,FALSE)</f>
        <v>1</v>
      </c>
      <c r="P1156" s="104" t="s">
        <v>112</v>
      </c>
      <c r="Q1156" s="150">
        <f t="shared" si="548"/>
        <v>5.2282879999999992</v>
      </c>
      <c r="R1156" s="148">
        <v>1</v>
      </c>
      <c r="S1156" s="150">
        <f t="shared" si="549"/>
        <v>6.2282879999999992</v>
      </c>
      <c r="T1156" s="152" t="s">
        <v>48</v>
      </c>
    </row>
    <row r="1157" spans="3:20" ht="20.25" customHeight="1">
      <c r="C1157" s="96"/>
      <c r="D1157" s="102">
        <f t="shared" si="507"/>
        <v>1157</v>
      </c>
      <c r="E1157" s="106" t="s">
        <v>535</v>
      </c>
      <c r="F1157" s="108">
        <f t="shared" si="547"/>
        <v>1156</v>
      </c>
      <c r="G1157" s="105" t="s">
        <v>44</v>
      </c>
      <c r="H1157" s="105"/>
      <c r="I1157" s="104">
        <v>18</v>
      </c>
      <c r="J1157" s="108" t="str">
        <f>J1156</f>
        <v>1664 mm id</v>
      </c>
      <c r="K1157" s="118">
        <v>1</v>
      </c>
      <c r="L1157" s="118" t="s">
        <v>81</v>
      </c>
      <c r="M1157" s="128">
        <f t="shared" ref="M1157" si="550">LEFT(J1157,SEARCH(" ",J1157,1)-1)*K1157*3.142/1000</f>
        <v>5.2282879999999992</v>
      </c>
      <c r="N1157" s="104" t="s">
        <v>50</v>
      </c>
      <c r="O1157" s="120">
        <v>0.25</v>
      </c>
      <c r="P1157" s="104" t="s">
        <v>112</v>
      </c>
      <c r="Q1157" s="150">
        <f t="shared" si="548"/>
        <v>1.3070719999999998</v>
      </c>
      <c r="R1157" s="148">
        <v>1</v>
      </c>
      <c r="S1157" s="150">
        <f t="shared" si="549"/>
        <v>2.3070719999999998</v>
      </c>
      <c r="T1157" s="152" t="s">
        <v>48</v>
      </c>
    </row>
    <row r="1158" spans="3:20" ht="20.25" customHeight="1">
      <c r="C1158" s="96">
        <f>D1158</f>
        <v>1158</v>
      </c>
      <c r="D1158" s="102">
        <f t="shared" si="507"/>
        <v>1158</v>
      </c>
      <c r="E1158" s="103" t="s">
        <v>536</v>
      </c>
      <c r="F1158" s="108">
        <f>D1154</f>
        <v>1154</v>
      </c>
      <c r="G1158" s="105"/>
      <c r="H1158" s="105"/>
      <c r="I1158" s="104"/>
      <c r="J1158" s="104"/>
      <c r="K1158" s="118"/>
      <c r="L1158" s="118"/>
      <c r="M1158" s="119"/>
      <c r="N1158" s="104"/>
      <c r="O1158" s="120"/>
      <c r="P1158" s="104"/>
      <c r="Q1158" s="150"/>
      <c r="R1158" s="148"/>
      <c r="S1158" s="150"/>
      <c r="T1158" s="149"/>
    </row>
    <row r="1159" spans="3:20" ht="20.25" customHeight="1">
      <c r="C1159" s="96"/>
      <c r="D1159" s="102">
        <f t="shared" si="507"/>
        <v>1159</v>
      </c>
      <c r="E1159" s="106" t="s">
        <v>537</v>
      </c>
      <c r="F1159" s="108">
        <f t="shared" ref="F1159:F1163" si="551">D1158</f>
        <v>1158</v>
      </c>
      <c r="G1159" s="105" t="s">
        <v>201</v>
      </c>
      <c r="H1159" s="105"/>
      <c r="I1159" s="104">
        <v>12</v>
      </c>
      <c r="J1159" s="108" t="str">
        <f>J1157</f>
        <v>1664 mm id</v>
      </c>
      <c r="K1159" s="118">
        <v>1</v>
      </c>
      <c r="L1159" s="118" t="s">
        <v>81</v>
      </c>
      <c r="M1159" s="119">
        <v>1</v>
      </c>
      <c r="N1159" s="104" t="s">
        <v>249</v>
      </c>
      <c r="O1159" s="120">
        <v>1</v>
      </c>
      <c r="P1159" s="104" t="s">
        <v>112</v>
      </c>
      <c r="Q1159" s="150">
        <f t="shared" ref="Q1159:Q1163" si="552">M1159*O1159</f>
        <v>1</v>
      </c>
      <c r="R1159" s="148">
        <v>1</v>
      </c>
      <c r="S1159" s="150">
        <f t="shared" ref="S1159:S1163" si="553">Q1159+R1159</f>
        <v>2</v>
      </c>
      <c r="T1159" s="152" t="s">
        <v>48</v>
      </c>
    </row>
    <row r="1160" spans="3:20" ht="20.25" customHeight="1">
      <c r="C1160" s="96"/>
      <c r="D1160" s="102">
        <f t="shared" si="507"/>
        <v>1160</v>
      </c>
      <c r="E1160" s="106" t="s">
        <v>538</v>
      </c>
      <c r="F1160" s="108">
        <f t="shared" si="551"/>
        <v>1159</v>
      </c>
      <c r="G1160" s="105" t="s">
        <v>115</v>
      </c>
      <c r="H1160" s="105"/>
      <c r="I1160" s="104">
        <v>12</v>
      </c>
      <c r="J1160" s="108" t="str">
        <f>J1159</f>
        <v>1664 mm id</v>
      </c>
      <c r="K1160" s="118">
        <v>1</v>
      </c>
      <c r="L1160" s="118" t="s">
        <v>81</v>
      </c>
      <c r="M1160" s="128">
        <f t="shared" ref="M1160:M1163" si="554">LEFT(J1160,SEARCH(" ",J1160,1)-1)*K1160*3.142/1000</f>
        <v>5.2282879999999992</v>
      </c>
      <c r="N1160" s="104" t="s">
        <v>249</v>
      </c>
      <c r="O1160" s="162">
        <f>VLOOKUP(I1160,BM!$B$3:$Y$62,17,FALSE)</f>
        <v>2.5</v>
      </c>
      <c r="P1160" s="104" t="s">
        <v>112</v>
      </c>
      <c r="Q1160" s="150">
        <f t="shared" si="552"/>
        <v>13.070719999999998</v>
      </c>
      <c r="R1160" s="148">
        <v>1</v>
      </c>
      <c r="S1160" s="150">
        <f t="shared" si="553"/>
        <v>14.070719999999998</v>
      </c>
      <c r="T1160" s="152" t="s">
        <v>48</v>
      </c>
    </row>
    <row r="1161" spans="3:20" ht="20.25" customHeight="1">
      <c r="C1161" s="96"/>
      <c r="D1161" s="102">
        <f t="shared" si="507"/>
        <v>1161</v>
      </c>
      <c r="E1161" s="106" t="s">
        <v>539</v>
      </c>
      <c r="F1161" s="108">
        <f t="shared" si="551"/>
        <v>1160</v>
      </c>
      <c r="G1161" s="105" t="s">
        <v>61</v>
      </c>
      <c r="H1161" s="105"/>
      <c r="I1161" s="104">
        <v>18</v>
      </c>
      <c r="J1161" s="108" t="str">
        <f t="shared" ref="J1161:J1163" si="555">J1159</f>
        <v>1664 mm id</v>
      </c>
      <c r="K1161" s="118">
        <v>1</v>
      </c>
      <c r="L1161" s="118" t="s">
        <v>81</v>
      </c>
      <c r="M1161" s="128">
        <f t="shared" si="554"/>
        <v>5.2282879999999992</v>
      </c>
      <c r="N1161" s="104" t="s">
        <v>249</v>
      </c>
      <c r="O1161" s="162">
        <f>VLOOKUP(I1161,BM!$B$3:$Y$62,18,FALSE)</f>
        <v>1</v>
      </c>
      <c r="P1161" s="104" t="s">
        <v>112</v>
      </c>
      <c r="Q1161" s="150">
        <f t="shared" si="552"/>
        <v>5.2282879999999992</v>
      </c>
      <c r="R1161" s="148">
        <v>1</v>
      </c>
      <c r="S1161" s="150">
        <f t="shared" si="553"/>
        <v>6.2282879999999992</v>
      </c>
      <c r="T1161" s="152" t="s">
        <v>48</v>
      </c>
    </row>
    <row r="1162" spans="3:20" ht="20.25" customHeight="1">
      <c r="C1162" s="96"/>
      <c r="D1162" s="102">
        <f t="shared" si="507"/>
        <v>1162</v>
      </c>
      <c r="E1162" s="106" t="s">
        <v>540</v>
      </c>
      <c r="F1162" s="108">
        <f t="shared" si="551"/>
        <v>1161</v>
      </c>
      <c r="G1162" s="105" t="s">
        <v>115</v>
      </c>
      <c r="H1162" s="105"/>
      <c r="I1162" s="104">
        <v>6</v>
      </c>
      <c r="J1162" s="108" t="str">
        <f t="shared" si="555"/>
        <v>1664 mm id</v>
      </c>
      <c r="K1162" s="118">
        <v>1</v>
      </c>
      <c r="L1162" s="118" t="s">
        <v>81</v>
      </c>
      <c r="M1162" s="128">
        <f t="shared" si="554"/>
        <v>5.2282879999999992</v>
      </c>
      <c r="N1162" s="104" t="s">
        <v>249</v>
      </c>
      <c r="O1162" s="162">
        <f>VLOOKUP(I1162,BM!$B$3:$Y$62,17,FALSE)</f>
        <v>0.9</v>
      </c>
      <c r="P1162" s="104" t="s">
        <v>112</v>
      </c>
      <c r="Q1162" s="150">
        <f t="shared" si="552"/>
        <v>4.7054591999999991</v>
      </c>
      <c r="R1162" s="148">
        <v>1</v>
      </c>
      <c r="S1162" s="150">
        <f t="shared" si="553"/>
        <v>5.7054591999999991</v>
      </c>
      <c r="T1162" s="152" t="s">
        <v>48</v>
      </c>
    </row>
    <row r="1163" spans="3:20" ht="20.25" customHeight="1">
      <c r="C1163" s="96"/>
      <c r="D1163" s="102">
        <f t="shared" si="507"/>
        <v>1163</v>
      </c>
      <c r="E1163" s="106" t="s">
        <v>541</v>
      </c>
      <c r="F1163" s="108">
        <f t="shared" si="551"/>
        <v>1162</v>
      </c>
      <c r="G1163" s="105" t="s">
        <v>61</v>
      </c>
      <c r="H1163" s="105"/>
      <c r="I1163" s="104">
        <v>18</v>
      </c>
      <c r="J1163" s="108" t="str">
        <f t="shared" si="555"/>
        <v>1664 mm id</v>
      </c>
      <c r="K1163" s="118">
        <v>1</v>
      </c>
      <c r="L1163" s="118" t="s">
        <v>81</v>
      </c>
      <c r="M1163" s="128">
        <f t="shared" si="554"/>
        <v>5.2282879999999992</v>
      </c>
      <c r="N1163" s="104" t="s">
        <v>249</v>
      </c>
      <c r="O1163" s="162">
        <f>VLOOKUP(I1163,BM!$B$3:$Y$62,20,FALSE)</f>
        <v>0.5</v>
      </c>
      <c r="P1163" s="104" t="s">
        <v>112</v>
      </c>
      <c r="Q1163" s="150">
        <f t="shared" si="552"/>
        <v>2.6141439999999996</v>
      </c>
      <c r="R1163" s="148">
        <v>1</v>
      </c>
      <c r="S1163" s="150">
        <f t="shared" si="553"/>
        <v>3.6141439999999996</v>
      </c>
      <c r="T1163" s="152" t="s">
        <v>48</v>
      </c>
    </row>
    <row r="1164" spans="3:20" ht="20.25" customHeight="1">
      <c r="C1164" s="96">
        <f>D1164</f>
        <v>1164</v>
      </c>
      <c r="D1164" s="102">
        <f t="shared" si="507"/>
        <v>1164</v>
      </c>
      <c r="E1164" s="103" t="s">
        <v>542</v>
      </c>
      <c r="F1164" s="108">
        <f>D1158</f>
        <v>1158</v>
      </c>
      <c r="G1164" s="105"/>
      <c r="H1164" s="105"/>
      <c r="I1164" s="104"/>
      <c r="J1164" s="104"/>
      <c r="K1164" s="118"/>
      <c r="L1164" s="118"/>
      <c r="M1164" s="119"/>
      <c r="N1164" s="104"/>
      <c r="O1164" s="120"/>
      <c r="P1164" s="104"/>
      <c r="Q1164" s="150"/>
      <c r="R1164" s="148"/>
      <c r="S1164" s="150"/>
      <c r="T1164" s="149"/>
    </row>
    <row r="1165" spans="3:20" ht="20.25" customHeight="1">
      <c r="C1165" s="96"/>
      <c r="D1165" s="102">
        <f t="shared" si="507"/>
        <v>1165</v>
      </c>
      <c r="E1165" s="106" t="s">
        <v>543</v>
      </c>
      <c r="F1165" s="108">
        <f t="shared" ref="F1165:F1168" si="556">D1164</f>
        <v>1164</v>
      </c>
      <c r="G1165" s="105" t="s">
        <v>52</v>
      </c>
      <c r="H1165" s="105"/>
      <c r="I1165" s="104">
        <v>18</v>
      </c>
      <c r="J1165" s="108" t="str">
        <f>J1163</f>
        <v>1664 mm id</v>
      </c>
      <c r="K1165" s="118">
        <v>1</v>
      </c>
      <c r="L1165" s="118" t="s">
        <v>81</v>
      </c>
      <c r="M1165" s="128">
        <f t="shared" ref="M1165:M1168" si="557">LEFT(J1165,SEARCH(" ",J1165,1)-1)*K1165*3.142/1000</f>
        <v>5.2282879999999992</v>
      </c>
      <c r="N1165" s="104" t="s">
        <v>139</v>
      </c>
      <c r="O1165" s="162">
        <f>VLOOKUP(I1165,BM!$B$3:$Y$62,10,FALSE)</f>
        <v>1</v>
      </c>
      <c r="P1165" s="104" t="s">
        <v>112</v>
      </c>
      <c r="Q1165" s="150">
        <f t="shared" ref="Q1165:Q1168" si="558">M1165*O1165</f>
        <v>5.2282879999999992</v>
      </c>
      <c r="R1165" s="148">
        <v>1</v>
      </c>
      <c r="S1165" s="150">
        <f t="shared" ref="S1165:S1168" si="559">Q1165+R1165</f>
        <v>6.2282879999999992</v>
      </c>
      <c r="T1165" s="152" t="s">
        <v>48</v>
      </c>
    </row>
    <row r="1166" spans="3:20" ht="20.25" customHeight="1">
      <c r="C1166" s="96"/>
      <c r="D1166" s="102">
        <f t="shared" si="507"/>
        <v>1166</v>
      </c>
      <c r="E1166" s="106" t="s">
        <v>544</v>
      </c>
      <c r="F1166" s="108">
        <f t="shared" si="556"/>
        <v>1165</v>
      </c>
      <c r="G1166" s="105" t="s">
        <v>44</v>
      </c>
      <c r="H1166" s="105"/>
      <c r="I1166" s="104">
        <v>18</v>
      </c>
      <c r="J1166" s="108" t="str">
        <f t="shared" ref="J1166:J1168" si="560">J1165</f>
        <v>1664 mm id</v>
      </c>
      <c r="K1166" s="118">
        <v>1</v>
      </c>
      <c r="L1166" s="118" t="s">
        <v>81</v>
      </c>
      <c r="M1166" s="128">
        <f t="shared" si="557"/>
        <v>5.2282879999999992</v>
      </c>
      <c r="N1166" s="104" t="s">
        <v>139</v>
      </c>
      <c r="O1166" s="162">
        <f>VLOOKUP(I1166,BM!$B$3:$Y$62,16,FALSE)</f>
        <v>1</v>
      </c>
      <c r="P1166" s="104" t="s">
        <v>112</v>
      </c>
      <c r="Q1166" s="150">
        <f t="shared" si="558"/>
        <v>5.2282879999999992</v>
      </c>
      <c r="R1166" s="148">
        <v>1</v>
      </c>
      <c r="S1166" s="150">
        <f t="shared" si="559"/>
        <v>6.2282879999999992</v>
      </c>
      <c r="T1166" s="152" t="s">
        <v>48</v>
      </c>
    </row>
    <row r="1167" spans="3:20" ht="20.25" customHeight="1">
      <c r="C1167" s="96"/>
      <c r="D1167" s="102">
        <f t="shared" si="507"/>
        <v>1167</v>
      </c>
      <c r="E1167" s="106" t="s">
        <v>545</v>
      </c>
      <c r="F1167" s="108">
        <f t="shared" si="556"/>
        <v>1166</v>
      </c>
      <c r="G1167" s="105" t="s">
        <v>111</v>
      </c>
      <c r="H1167" s="105"/>
      <c r="I1167" s="104">
        <v>18</v>
      </c>
      <c r="J1167" s="108" t="str">
        <f t="shared" si="560"/>
        <v>1664 mm id</v>
      </c>
      <c r="K1167" s="118">
        <v>1</v>
      </c>
      <c r="L1167" s="118" t="s">
        <v>81</v>
      </c>
      <c r="M1167" s="128">
        <f t="shared" si="557"/>
        <v>5.2282879999999992</v>
      </c>
      <c r="N1167" s="104" t="s">
        <v>139</v>
      </c>
      <c r="O1167" s="120">
        <v>4</v>
      </c>
      <c r="P1167" s="104" t="s">
        <v>112</v>
      </c>
      <c r="Q1167" s="150">
        <f t="shared" si="558"/>
        <v>20.913151999999997</v>
      </c>
      <c r="R1167" s="148">
        <v>1</v>
      </c>
      <c r="S1167" s="150">
        <f t="shared" si="559"/>
        <v>21.913151999999997</v>
      </c>
      <c r="T1167" s="152" t="s">
        <v>48</v>
      </c>
    </row>
    <row r="1168" spans="3:20" ht="20.25" customHeight="1">
      <c r="C1168" s="96"/>
      <c r="D1168" s="102">
        <f t="shared" si="507"/>
        <v>1168</v>
      </c>
      <c r="E1168" s="106" t="s">
        <v>546</v>
      </c>
      <c r="F1168" s="108">
        <f t="shared" si="556"/>
        <v>1167</v>
      </c>
      <c r="G1168" s="105" t="s">
        <v>63</v>
      </c>
      <c r="H1168" s="105"/>
      <c r="I1168" s="104">
        <v>18</v>
      </c>
      <c r="J1168" s="108" t="str">
        <f t="shared" si="560"/>
        <v>1664 mm id</v>
      </c>
      <c r="K1168" s="118">
        <v>1</v>
      </c>
      <c r="L1168" s="118" t="s">
        <v>81</v>
      </c>
      <c r="M1168" s="128">
        <f t="shared" si="557"/>
        <v>5.2282879999999992</v>
      </c>
      <c r="N1168" s="104" t="s">
        <v>39</v>
      </c>
      <c r="O1168" s="120">
        <v>3.5</v>
      </c>
      <c r="P1168" s="104" t="s">
        <v>112</v>
      </c>
      <c r="Q1168" s="150">
        <f t="shared" si="558"/>
        <v>18.299007999999997</v>
      </c>
      <c r="R1168" s="148">
        <v>1</v>
      </c>
      <c r="S1168" s="150">
        <f t="shared" si="559"/>
        <v>19.299007999999997</v>
      </c>
      <c r="T1168" s="152" t="s">
        <v>48</v>
      </c>
    </row>
    <row r="1169" spans="3:20" ht="20.25" customHeight="1">
      <c r="C1169" s="96">
        <f>D1169</f>
        <v>1169</v>
      </c>
      <c r="D1169" s="102">
        <f t="shared" si="507"/>
        <v>1169</v>
      </c>
      <c r="E1169" s="103" t="s">
        <v>547</v>
      </c>
      <c r="F1169" s="108">
        <f>D1164</f>
        <v>1164</v>
      </c>
      <c r="G1169" s="105"/>
      <c r="H1169" s="105"/>
      <c r="I1169" s="104"/>
      <c r="J1169" s="104"/>
      <c r="K1169" s="118"/>
      <c r="L1169" s="118"/>
      <c r="M1169" s="119"/>
      <c r="N1169" s="104"/>
      <c r="O1169" s="120"/>
      <c r="P1169" s="104"/>
      <c r="Q1169" s="150"/>
      <c r="R1169" s="148"/>
      <c r="S1169" s="150"/>
      <c r="T1169" s="149"/>
    </row>
    <row r="1170" spans="3:20" ht="20.25" customHeight="1">
      <c r="C1170" s="96"/>
      <c r="D1170" s="102">
        <f t="shared" si="507"/>
        <v>1170</v>
      </c>
      <c r="E1170" s="106" t="s">
        <v>548</v>
      </c>
      <c r="F1170" s="108">
        <f t="shared" ref="F1170:F1174" si="561">D1169</f>
        <v>1169</v>
      </c>
      <c r="G1170" s="105" t="s">
        <v>201</v>
      </c>
      <c r="H1170" s="105"/>
      <c r="I1170" s="104">
        <v>12</v>
      </c>
      <c r="J1170" s="108" t="str">
        <f>J1168</f>
        <v>1664 mm id</v>
      </c>
      <c r="K1170" s="118">
        <v>1</v>
      </c>
      <c r="L1170" s="118" t="s">
        <v>81</v>
      </c>
      <c r="M1170" s="119">
        <v>1</v>
      </c>
      <c r="N1170" s="104" t="s">
        <v>249</v>
      </c>
      <c r="O1170" s="120">
        <v>1</v>
      </c>
      <c r="P1170" s="104" t="s">
        <v>112</v>
      </c>
      <c r="Q1170" s="150">
        <f t="shared" ref="Q1170:Q1174" si="562">M1170*O1170</f>
        <v>1</v>
      </c>
      <c r="R1170" s="148">
        <v>1</v>
      </c>
      <c r="S1170" s="150">
        <f t="shared" ref="S1170:S1174" si="563">Q1170+R1170</f>
        <v>2</v>
      </c>
      <c r="T1170" s="152" t="s">
        <v>48</v>
      </c>
    </row>
    <row r="1171" spans="3:20" ht="20.25" customHeight="1">
      <c r="C1171" s="96"/>
      <c r="D1171" s="102">
        <f t="shared" ref="D1171:D1234" si="564">D1170+1</f>
        <v>1171</v>
      </c>
      <c r="E1171" s="106" t="s">
        <v>549</v>
      </c>
      <c r="F1171" s="108">
        <f t="shared" si="561"/>
        <v>1170</v>
      </c>
      <c r="G1171" s="105" t="s">
        <v>115</v>
      </c>
      <c r="H1171" s="105"/>
      <c r="I1171" s="104">
        <v>12</v>
      </c>
      <c r="J1171" s="108" t="str">
        <f t="shared" ref="J1171:J1174" si="565">J1170</f>
        <v>1664 mm id</v>
      </c>
      <c r="K1171" s="118">
        <v>1</v>
      </c>
      <c r="L1171" s="118" t="s">
        <v>81</v>
      </c>
      <c r="M1171" s="128">
        <f t="shared" ref="M1171:M1174" si="566">LEFT(J1171,SEARCH(" ",J1171,1)-1)*K1171*3.142/1000</f>
        <v>5.2282879999999992</v>
      </c>
      <c r="N1171" s="104" t="s">
        <v>249</v>
      </c>
      <c r="O1171" s="162">
        <f>VLOOKUP(I1171,BM!$B$3:$Y$62,17,FALSE)</f>
        <v>2.5</v>
      </c>
      <c r="P1171" s="104" t="s">
        <v>112</v>
      </c>
      <c r="Q1171" s="150">
        <f t="shared" si="562"/>
        <v>13.070719999999998</v>
      </c>
      <c r="R1171" s="148">
        <v>1</v>
      </c>
      <c r="S1171" s="150">
        <f t="shared" si="563"/>
        <v>14.070719999999998</v>
      </c>
      <c r="T1171" s="152" t="s">
        <v>48</v>
      </c>
    </row>
    <row r="1172" spans="3:20" ht="20.25" customHeight="1">
      <c r="C1172" s="96"/>
      <c r="D1172" s="102">
        <f t="shared" si="564"/>
        <v>1172</v>
      </c>
      <c r="E1172" s="106" t="s">
        <v>550</v>
      </c>
      <c r="F1172" s="108">
        <f t="shared" si="561"/>
        <v>1171</v>
      </c>
      <c r="G1172" s="105" t="s">
        <v>61</v>
      </c>
      <c r="H1172" s="105"/>
      <c r="I1172" s="104">
        <v>18</v>
      </c>
      <c r="J1172" s="108" t="str">
        <f t="shared" si="565"/>
        <v>1664 mm id</v>
      </c>
      <c r="K1172" s="118">
        <v>1</v>
      </c>
      <c r="L1172" s="118" t="s">
        <v>81</v>
      </c>
      <c r="M1172" s="128">
        <f t="shared" si="566"/>
        <v>5.2282879999999992</v>
      </c>
      <c r="N1172" s="104" t="s">
        <v>249</v>
      </c>
      <c r="O1172" s="162">
        <f>VLOOKUP(I1172,BM!$B$3:$Y$62,18,FALSE)</f>
        <v>1</v>
      </c>
      <c r="P1172" s="104" t="s">
        <v>112</v>
      </c>
      <c r="Q1172" s="150">
        <f t="shared" si="562"/>
        <v>5.2282879999999992</v>
      </c>
      <c r="R1172" s="148">
        <v>1</v>
      </c>
      <c r="S1172" s="150">
        <f t="shared" si="563"/>
        <v>6.2282879999999992</v>
      </c>
      <c r="T1172" s="152" t="s">
        <v>48</v>
      </c>
    </row>
    <row r="1173" spans="3:20" ht="20.25" customHeight="1">
      <c r="C1173" s="96"/>
      <c r="D1173" s="102">
        <f t="shared" si="564"/>
        <v>1173</v>
      </c>
      <c r="E1173" s="106" t="s">
        <v>551</v>
      </c>
      <c r="F1173" s="108">
        <f t="shared" si="561"/>
        <v>1172</v>
      </c>
      <c r="G1173" s="105" t="s">
        <v>115</v>
      </c>
      <c r="H1173" s="105"/>
      <c r="I1173" s="104">
        <v>6</v>
      </c>
      <c r="J1173" s="108" t="str">
        <f t="shared" si="565"/>
        <v>1664 mm id</v>
      </c>
      <c r="K1173" s="118">
        <v>1</v>
      </c>
      <c r="L1173" s="118" t="s">
        <v>81</v>
      </c>
      <c r="M1173" s="128">
        <f t="shared" si="566"/>
        <v>5.2282879999999992</v>
      </c>
      <c r="N1173" s="104" t="s">
        <v>249</v>
      </c>
      <c r="O1173" s="162">
        <f>VLOOKUP(I1173,BM!$B$3:$Y$62,17,FALSE)</f>
        <v>0.9</v>
      </c>
      <c r="P1173" s="104" t="s">
        <v>112</v>
      </c>
      <c r="Q1173" s="150">
        <f t="shared" si="562"/>
        <v>4.7054591999999991</v>
      </c>
      <c r="R1173" s="148">
        <v>1</v>
      </c>
      <c r="S1173" s="150">
        <f t="shared" si="563"/>
        <v>5.7054591999999991</v>
      </c>
      <c r="T1173" s="152" t="s">
        <v>48</v>
      </c>
    </row>
    <row r="1174" spans="3:20" ht="20.25" customHeight="1">
      <c r="C1174" s="96"/>
      <c r="D1174" s="102">
        <f t="shared" si="564"/>
        <v>1174</v>
      </c>
      <c r="E1174" s="106" t="s">
        <v>552</v>
      </c>
      <c r="F1174" s="108">
        <f t="shared" si="561"/>
        <v>1173</v>
      </c>
      <c r="G1174" s="105" t="s">
        <v>61</v>
      </c>
      <c r="H1174" s="105"/>
      <c r="I1174" s="104">
        <v>18</v>
      </c>
      <c r="J1174" s="108" t="str">
        <f t="shared" si="565"/>
        <v>1664 mm id</v>
      </c>
      <c r="K1174" s="118">
        <v>1</v>
      </c>
      <c r="L1174" s="118" t="s">
        <v>81</v>
      </c>
      <c r="M1174" s="128">
        <f t="shared" si="566"/>
        <v>5.2282879999999992</v>
      </c>
      <c r="N1174" s="104" t="s">
        <v>249</v>
      </c>
      <c r="O1174" s="162">
        <f>VLOOKUP(I1174,BM!$B$3:$Y$62,20,FALSE)</f>
        <v>0.5</v>
      </c>
      <c r="P1174" s="104" t="s">
        <v>112</v>
      </c>
      <c r="Q1174" s="150">
        <f t="shared" si="562"/>
        <v>2.6141439999999996</v>
      </c>
      <c r="R1174" s="148">
        <v>1</v>
      </c>
      <c r="S1174" s="150">
        <f t="shared" si="563"/>
        <v>3.6141439999999996</v>
      </c>
      <c r="T1174" s="152" t="s">
        <v>48</v>
      </c>
    </row>
    <row r="1175" spans="3:20" ht="20.25" customHeight="1">
      <c r="C1175" s="96">
        <f>D1175</f>
        <v>1175</v>
      </c>
      <c r="D1175" s="102">
        <f t="shared" si="564"/>
        <v>1175</v>
      </c>
      <c r="E1175" s="103" t="s">
        <v>553</v>
      </c>
      <c r="F1175" s="108">
        <f>D1169</f>
        <v>1169</v>
      </c>
      <c r="G1175" s="105"/>
      <c r="H1175" s="105"/>
      <c r="I1175" s="104"/>
      <c r="J1175" s="104"/>
      <c r="K1175" s="118"/>
      <c r="L1175" s="118"/>
      <c r="M1175" s="119"/>
      <c r="N1175" s="104"/>
      <c r="O1175" s="120"/>
      <c r="P1175" s="104"/>
      <c r="Q1175" s="150"/>
      <c r="R1175" s="148"/>
      <c r="S1175" s="150"/>
      <c r="T1175" s="149"/>
    </row>
    <row r="1176" spans="3:20" ht="20.25" customHeight="1">
      <c r="C1176" s="96"/>
      <c r="D1176" s="102">
        <f t="shared" si="564"/>
        <v>1176</v>
      </c>
      <c r="E1176" s="106" t="s">
        <v>554</v>
      </c>
      <c r="F1176" s="108">
        <f t="shared" ref="F1176" si="567">D1175</f>
        <v>1175</v>
      </c>
      <c r="G1176" s="105" t="s">
        <v>312</v>
      </c>
      <c r="H1176" s="105"/>
      <c r="I1176" s="108">
        <f>I1174</f>
        <v>18</v>
      </c>
      <c r="J1176" s="108" t="str">
        <f t="shared" ref="J1176:L1176" si="568">J1174</f>
        <v>1664 mm id</v>
      </c>
      <c r="K1176" s="164">
        <f t="shared" si="568"/>
        <v>1</v>
      </c>
      <c r="L1176" s="164" t="str">
        <f t="shared" si="568"/>
        <v>Nos</v>
      </c>
      <c r="M1176" s="104">
        <v>1</v>
      </c>
      <c r="N1176" s="104" t="s">
        <v>39</v>
      </c>
      <c r="O1176" s="120">
        <v>1</v>
      </c>
      <c r="P1176" s="104" t="s">
        <v>41</v>
      </c>
      <c r="Q1176" s="150">
        <f t="shared" ref="Q1176" si="569">M1176*O1176</f>
        <v>1</v>
      </c>
      <c r="R1176" s="108"/>
      <c r="S1176" s="150">
        <f t="shared" ref="S1176" si="570">Q1176+R1176</f>
        <v>1</v>
      </c>
      <c r="T1176" s="152" t="s">
        <v>41</v>
      </c>
    </row>
    <row r="1177" spans="3:20" ht="20.25" customHeight="1">
      <c r="C1177" s="96">
        <f>D1177</f>
        <v>1177</v>
      </c>
      <c r="D1177" s="102">
        <f t="shared" si="564"/>
        <v>1177</v>
      </c>
      <c r="E1177" s="103" t="s">
        <v>555</v>
      </c>
      <c r="F1177" s="108">
        <f>D1175</f>
        <v>1175</v>
      </c>
      <c r="G1177" s="105"/>
      <c r="H1177" s="105"/>
      <c r="I1177" s="104"/>
      <c r="J1177" s="104"/>
      <c r="K1177" s="118"/>
      <c r="L1177" s="118"/>
      <c r="M1177" s="119"/>
      <c r="N1177" s="104"/>
      <c r="O1177" s="120"/>
      <c r="P1177" s="104"/>
      <c r="Q1177" s="150"/>
      <c r="R1177" s="148"/>
      <c r="S1177" s="150"/>
      <c r="T1177" s="149"/>
    </row>
    <row r="1178" spans="3:20" ht="20.25" customHeight="1">
      <c r="C1178" s="96"/>
      <c r="D1178" s="102">
        <f t="shared" si="564"/>
        <v>1178</v>
      </c>
      <c r="E1178" s="106" t="s">
        <v>556</v>
      </c>
      <c r="F1178" s="108">
        <f t="shared" ref="F1178:F1179" si="571">D1177</f>
        <v>1177</v>
      </c>
      <c r="G1178" s="105" t="s">
        <v>44</v>
      </c>
      <c r="H1178" s="105"/>
      <c r="I1178" s="104">
        <v>20</v>
      </c>
      <c r="J1178" s="108" t="str">
        <f>J1176</f>
        <v>1664 mm id</v>
      </c>
      <c r="K1178" s="118">
        <v>1</v>
      </c>
      <c r="L1178" s="118" t="s">
        <v>81</v>
      </c>
      <c r="M1178" s="119">
        <v>1</v>
      </c>
      <c r="N1178" s="104" t="s">
        <v>81</v>
      </c>
      <c r="O1178" s="120">
        <v>3</v>
      </c>
      <c r="P1178" s="104" t="s">
        <v>112</v>
      </c>
      <c r="Q1178" s="150">
        <f t="shared" ref="Q1178:Q1179" si="572">M1178*O1178</f>
        <v>3</v>
      </c>
      <c r="R1178" s="148">
        <v>1</v>
      </c>
      <c r="S1178" s="150">
        <f t="shared" ref="S1178:S1179" si="573">Q1178+R1178</f>
        <v>4</v>
      </c>
      <c r="T1178" s="152" t="s">
        <v>48</v>
      </c>
    </row>
    <row r="1179" spans="3:20" ht="20.25" customHeight="1">
      <c r="C1179" s="96"/>
      <c r="D1179" s="102">
        <f t="shared" si="564"/>
        <v>1179</v>
      </c>
      <c r="E1179" s="106" t="s">
        <v>557</v>
      </c>
      <c r="F1179" s="108">
        <f t="shared" si="571"/>
        <v>1178</v>
      </c>
      <c r="G1179" s="105" t="s">
        <v>44</v>
      </c>
      <c r="H1179" s="105"/>
      <c r="I1179" s="104">
        <v>20</v>
      </c>
      <c r="J1179" s="108" t="str">
        <f>J1178</f>
        <v>1664 mm id</v>
      </c>
      <c r="K1179" s="118">
        <v>1</v>
      </c>
      <c r="L1179" s="118" t="s">
        <v>81</v>
      </c>
      <c r="M1179" s="119">
        <v>1</v>
      </c>
      <c r="N1179" s="104" t="s">
        <v>81</v>
      </c>
      <c r="O1179" s="120">
        <v>1</v>
      </c>
      <c r="P1179" s="104" t="s">
        <v>112</v>
      </c>
      <c r="Q1179" s="150">
        <f t="shared" si="572"/>
        <v>1</v>
      </c>
      <c r="R1179" s="148">
        <v>1</v>
      </c>
      <c r="S1179" s="150">
        <f t="shared" si="573"/>
        <v>2</v>
      </c>
      <c r="T1179" s="152" t="s">
        <v>48</v>
      </c>
    </row>
    <row r="1180" spans="3:20" ht="20.25" customHeight="1">
      <c r="C1180" s="96">
        <f>D1180</f>
        <v>1180</v>
      </c>
      <c r="D1180" s="102">
        <f t="shared" si="564"/>
        <v>1180</v>
      </c>
      <c r="E1180" s="103" t="s">
        <v>774</v>
      </c>
      <c r="F1180" s="108">
        <f>D1177</f>
        <v>1177</v>
      </c>
      <c r="G1180" s="105"/>
      <c r="H1180" s="105"/>
      <c r="I1180" s="104"/>
      <c r="J1180" s="104"/>
      <c r="K1180" s="118"/>
      <c r="L1180" s="118"/>
      <c r="M1180" s="119"/>
      <c r="N1180" s="104"/>
      <c r="O1180" s="120"/>
      <c r="P1180" s="104"/>
      <c r="Q1180" s="150"/>
      <c r="R1180" s="148"/>
      <c r="S1180" s="150"/>
      <c r="T1180" s="152"/>
    </row>
    <row r="1181" spans="3:20" ht="20.25" customHeight="1">
      <c r="C1181" s="96"/>
      <c r="D1181" s="102">
        <f t="shared" si="564"/>
        <v>1181</v>
      </c>
      <c r="E1181" s="106" t="s">
        <v>559</v>
      </c>
      <c r="F1181" s="108">
        <f t="shared" ref="F1181:F1182" si="574">D1180</f>
        <v>1180</v>
      </c>
      <c r="G1181" s="105" t="s">
        <v>52</v>
      </c>
      <c r="H1181" s="105"/>
      <c r="I1181" s="104"/>
      <c r="J1181" s="104" t="s">
        <v>560</v>
      </c>
      <c r="K1181" s="118">
        <v>1</v>
      </c>
      <c r="L1181" s="118" t="s">
        <v>39</v>
      </c>
      <c r="M1181" s="119">
        <v>1</v>
      </c>
      <c r="N1181" s="104" t="s">
        <v>81</v>
      </c>
      <c r="O1181" s="120">
        <v>3</v>
      </c>
      <c r="P1181" s="104" t="s">
        <v>112</v>
      </c>
      <c r="Q1181" s="150">
        <f t="shared" ref="Q1181:Q1182" si="575">M1181*O1181</f>
        <v>3</v>
      </c>
      <c r="R1181" s="148">
        <v>1</v>
      </c>
      <c r="S1181" s="150">
        <f t="shared" ref="S1181:S1182" si="576">Q1181+R1181</f>
        <v>4</v>
      </c>
      <c r="T1181" s="152" t="s">
        <v>48</v>
      </c>
    </row>
    <row r="1182" spans="3:20" ht="20.25" customHeight="1">
      <c r="C1182" s="96"/>
      <c r="D1182" s="102">
        <f t="shared" si="564"/>
        <v>1182</v>
      </c>
      <c r="E1182" s="106" t="s">
        <v>559</v>
      </c>
      <c r="F1182" s="108">
        <f t="shared" si="574"/>
        <v>1181</v>
      </c>
      <c r="G1182" s="105" t="s">
        <v>52</v>
      </c>
      <c r="H1182" s="105"/>
      <c r="I1182" s="104"/>
      <c r="J1182" s="104" t="s">
        <v>560</v>
      </c>
      <c r="K1182" s="118">
        <v>1</v>
      </c>
      <c r="L1182" s="118" t="s">
        <v>39</v>
      </c>
      <c r="M1182" s="119">
        <v>1</v>
      </c>
      <c r="N1182" s="104" t="s">
        <v>81</v>
      </c>
      <c r="O1182" s="120">
        <v>3</v>
      </c>
      <c r="P1182" s="104" t="s">
        <v>112</v>
      </c>
      <c r="Q1182" s="150">
        <f t="shared" si="575"/>
        <v>3</v>
      </c>
      <c r="R1182" s="148">
        <v>1</v>
      </c>
      <c r="S1182" s="150">
        <f t="shared" si="576"/>
        <v>4</v>
      </c>
      <c r="T1182" s="152" t="s">
        <v>48</v>
      </c>
    </row>
    <row r="1183" spans="3:20" ht="20.25" customHeight="1">
      <c r="C1183" s="96">
        <f>D1183</f>
        <v>1183</v>
      </c>
      <c r="D1183" s="102">
        <f t="shared" si="564"/>
        <v>1183</v>
      </c>
      <c r="E1183" s="103" t="s">
        <v>561</v>
      </c>
      <c r="F1183" s="108">
        <f>D1180</f>
        <v>1180</v>
      </c>
      <c r="G1183" s="105"/>
      <c r="H1183" s="105"/>
      <c r="I1183" s="104"/>
      <c r="J1183" s="104"/>
      <c r="K1183" s="118"/>
      <c r="L1183" s="118"/>
      <c r="M1183" s="119"/>
      <c r="N1183" s="104"/>
      <c r="O1183" s="120"/>
      <c r="P1183" s="104"/>
      <c r="Q1183" s="150"/>
      <c r="R1183" s="148"/>
      <c r="S1183" s="150"/>
      <c r="T1183" s="152"/>
    </row>
    <row r="1184" spans="3:20" ht="20.25" customHeight="1">
      <c r="C1184" s="96"/>
      <c r="D1184" s="102">
        <f t="shared" si="564"/>
        <v>1184</v>
      </c>
      <c r="E1184" s="106" t="s">
        <v>559</v>
      </c>
      <c r="F1184" s="108">
        <f t="shared" ref="F1184:F1185" si="577">D1183</f>
        <v>1183</v>
      </c>
      <c r="G1184" s="105" t="s">
        <v>121</v>
      </c>
      <c r="H1184" s="105"/>
      <c r="I1184" s="104"/>
      <c r="J1184" s="104" t="s">
        <v>560</v>
      </c>
      <c r="K1184" s="118">
        <v>1</v>
      </c>
      <c r="L1184" s="118" t="s">
        <v>39</v>
      </c>
      <c r="M1184" s="119">
        <v>1</v>
      </c>
      <c r="N1184" s="104" t="s">
        <v>81</v>
      </c>
      <c r="O1184" s="120">
        <v>2</v>
      </c>
      <c r="P1184" s="104" t="s">
        <v>112</v>
      </c>
      <c r="Q1184" s="150">
        <f t="shared" ref="Q1184:Q1185" si="578">M1184*O1184</f>
        <v>2</v>
      </c>
      <c r="R1184" s="148">
        <v>1</v>
      </c>
      <c r="S1184" s="150">
        <f t="shared" ref="S1184:S1185" si="579">Q1184+R1184</f>
        <v>3</v>
      </c>
      <c r="T1184" s="152" t="s">
        <v>48</v>
      </c>
    </row>
    <row r="1185" spans="3:20" ht="20.25" customHeight="1">
      <c r="C1185" s="96"/>
      <c r="D1185" s="102">
        <f t="shared" si="564"/>
        <v>1185</v>
      </c>
      <c r="E1185" s="106" t="s">
        <v>559</v>
      </c>
      <c r="F1185" s="108">
        <f t="shared" si="577"/>
        <v>1184</v>
      </c>
      <c r="G1185" s="105" t="s">
        <v>121</v>
      </c>
      <c r="H1185" s="105"/>
      <c r="I1185" s="104"/>
      <c r="J1185" s="104" t="s">
        <v>560</v>
      </c>
      <c r="K1185" s="118">
        <v>1</v>
      </c>
      <c r="L1185" s="118" t="s">
        <v>39</v>
      </c>
      <c r="M1185" s="119">
        <v>1</v>
      </c>
      <c r="N1185" s="104" t="s">
        <v>81</v>
      </c>
      <c r="O1185" s="120">
        <v>2</v>
      </c>
      <c r="P1185" s="104" t="s">
        <v>112</v>
      </c>
      <c r="Q1185" s="150">
        <f t="shared" si="578"/>
        <v>2</v>
      </c>
      <c r="R1185" s="148">
        <v>1</v>
      </c>
      <c r="S1185" s="150">
        <f t="shared" si="579"/>
        <v>3</v>
      </c>
      <c r="T1185" s="152" t="s">
        <v>48</v>
      </c>
    </row>
    <row r="1186" spans="3:20" ht="20.25" customHeight="1">
      <c r="C1186" s="96">
        <f>D1186</f>
        <v>1186</v>
      </c>
      <c r="D1186" s="102">
        <f t="shared" si="564"/>
        <v>1186</v>
      </c>
      <c r="E1186" s="103" t="s">
        <v>562</v>
      </c>
      <c r="F1186" s="108">
        <f>D1183</f>
        <v>1183</v>
      </c>
      <c r="G1186" s="105"/>
      <c r="H1186" s="105"/>
      <c r="I1186" s="104"/>
      <c r="J1186" s="104"/>
      <c r="K1186" s="118"/>
      <c r="L1186" s="118"/>
      <c r="M1186" s="119"/>
      <c r="N1186" s="104"/>
      <c r="O1186" s="120"/>
      <c r="P1186" s="104"/>
      <c r="Q1186" s="150"/>
      <c r="R1186" s="148"/>
      <c r="S1186" s="150"/>
      <c r="T1186" s="152"/>
    </row>
    <row r="1187" spans="3:20" ht="20.25" customHeight="1">
      <c r="C1187" s="96"/>
      <c r="D1187" s="102">
        <f t="shared" si="564"/>
        <v>1187</v>
      </c>
      <c r="E1187" s="106" t="s">
        <v>563</v>
      </c>
      <c r="F1187" s="108">
        <f t="shared" ref="F1187:F1188" si="580">D1186</f>
        <v>1186</v>
      </c>
      <c r="G1187" s="105" t="s">
        <v>111</v>
      </c>
      <c r="H1187" s="105"/>
      <c r="I1187" s="104"/>
      <c r="J1187" s="104" t="s">
        <v>560</v>
      </c>
      <c r="K1187" s="118">
        <v>1</v>
      </c>
      <c r="L1187" s="118" t="s">
        <v>564</v>
      </c>
      <c r="M1187" s="119">
        <v>1</v>
      </c>
      <c r="N1187" s="104" t="s">
        <v>81</v>
      </c>
      <c r="O1187" s="162" t="e">
        <f>VLOOKUP(J1187,BM!$B$3:$Y$62,11,FALSE)</f>
        <v>#N/A</v>
      </c>
      <c r="P1187" s="104" t="s">
        <v>112</v>
      </c>
      <c r="Q1187" s="150" t="e">
        <f t="shared" ref="Q1187:Q1188" si="581">M1187*O1187</f>
        <v>#N/A</v>
      </c>
      <c r="R1187" s="148">
        <v>1</v>
      </c>
      <c r="S1187" s="150" t="e">
        <f t="shared" ref="S1187:S1188" si="582">Q1187+R1187</f>
        <v>#N/A</v>
      </c>
      <c r="T1187" s="152" t="s">
        <v>48</v>
      </c>
    </row>
    <row r="1188" spans="3:20" ht="20.25" customHeight="1">
      <c r="C1188" s="96"/>
      <c r="D1188" s="102">
        <f t="shared" si="564"/>
        <v>1188</v>
      </c>
      <c r="E1188" s="106" t="s">
        <v>565</v>
      </c>
      <c r="F1188" s="108">
        <f t="shared" si="580"/>
        <v>1187</v>
      </c>
      <c r="G1188" s="105" t="s">
        <v>111</v>
      </c>
      <c r="H1188" s="105"/>
      <c r="I1188" s="104"/>
      <c r="J1188" s="108" t="str">
        <f>J1187</f>
        <v>40NB</v>
      </c>
      <c r="K1188" s="118">
        <v>1</v>
      </c>
      <c r="L1188" s="118" t="s">
        <v>564</v>
      </c>
      <c r="M1188" s="119">
        <v>1</v>
      </c>
      <c r="N1188" s="104" t="s">
        <v>81</v>
      </c>
      <c r="O1188" s="162" t="e">
        <f>VLOOKUP(J1188,BM!$B$3:$Y$62,11,FALSE)</f>
        <v>#N/A</v>
      </c>
      <c r="P1188" s="104" t="s">
        <v>112</v>
      </c>
      <c r="Q1188" s="150" t="e">
        <f t="shared" si="581"/>
        <v>#N/A</v>
      </c>
      <c r="R1188" s="148">
        <v>1</v>
      </c>
      <c r="S1188" s="150" t="e">
        <f t="shared" si="582"/>
        <v>#N/A</v>
      </c>
      <c r="T1188" s="152" t="s">
        <v>48</v>
      </c>
    </row>
    <row r="1189" spans="3:20" ht="20.25" customHeight="1">
      <c r="C1189" s="96">
        <f>D1189</f>
        <v>1189</v>
      </c>
      <c r="D1189" s="102">
        <f t="shared" si="564"/>
        <v>1189</v>
      </c>
      <c r="E1189" s="103" t="s">
        <v>566</v>
      </c>
      <c r="F1189" s="108">
        <f>D1186</f>
        <v>1186</v>
      </c>
      <c r="G1189" s="105"/>
      <c r="H1189" s="105"/>
      <c r="I1189" s="104"/>
      <c r="J1189" s="104"/>
      <c r="K1189" s="118"/>
      <c r="L1189" s="118"/>
      <c r="M1189" s="119"/>
      <c r="N1189" s="104"/>
      <c r="O1189" s="120"/>
      <c r="P1189" s="104"/>
      <c r="Q1189" s="150"/>
      <c r="R1189" s="148"/>
      <c r="S1189" s="150"/>
      <c r="T1189" s="152"/>
    </row>
    <row r="1190" spans="3:20" ht="20.25" customHeight="1">
      <c r="C1190" s="96"/>
      <c r="D1190" s="102">
        <f t="shared" si="564"/>
        <v>1190</v>
      </c>
      <c r="E1190" s="106" t="s">
        <v>567</v>
      </c>
      <c r="F1190" s="108">
        <f t="shared" ref="F1190:F1191" si="583">D1189</f>
        <v>1189</v>
      </c>
      <c r="G1190" s="105" t="s">
        <v>568</v>
      </c>
      <c r="H1190" s="105"/>
      <c r="I1190" s="104"/>
      <c r="J1190" s="108" t="str">
        <f>J1188</f>
        <v>40NB</v>
      </c>
      <c r="K1190" s="118">
        <v>1</v>
      </c>
      <c r="L1190" s="118" t="s">
        <v>564</v>
      </c>
      <c r="M1190" s="119">
        <v>1</v>
      </c>
      <c r="N1190" s="104" t="s">
        <v>81</v>
      </c>
      <c r="O1190" s="120">
        <v>0.5</v>
      </c>
      <c r="P1190" s="104" t="s">
        <v>112</v>
      </c>
      <c r="Q1190" s="150">
        <f t="shared" ref="Q1190:Q1191" si="584">M1190*O1190</f>
        <v>0.5</v>
      </c>
      <c r="R1190" s="148">
        <v>1</v>
      </c>
      <c r="S1190" s="150">
        <f t="shared" ref="S1190:S1191" si="585">Q1190+R1190</f>
        <v>1.5</v>
      </c>
      <c r="T1190" s="152" t="s">
        <v>48</v>
      </c>
    </row>
    <row r="1191" spans="3:20" ht="20.25" customHeight="1">
      <c r="C1191" s="96"/>
      <c r="D1191" s="102">
        <f t="shared" si="564"/>
        <v>1191</v>
      </c>
      <c r="E1191" s="106" t="s">
        <v>569</v>
      </c>
      <c r="F1191" s="108">
        <f t="shared" si="583"/>
        <v>1190</v>
      </c>
      <c r="G1191" s="105" t="s">
        <v>568</v>
      </c>
      <c r="H1191" s="105"/>
      <c r="I1191" s="104"/>
      <c r="J1191" s="108" t="str">
        <f>J1188</f>
        <v>40NB</v>
      </c>
      <c r="K1191" s="118">
        <v>1</v>
      </c>
      <c r="L1191" s="118" t="s">
        <v>564</v>
      </c>
      <c r="M1191" s="119">
        <v>1</v>
      </c>
      <c r="N1191" s="104" t="s">
        <v>81</v>
      </c>
      <c r="O1191" s="120">
        <v>0.5</v>
      </c>
      <c r="P1191" s="104" t="s">
        <v>112</v>
      </c>
      <c r="Q1191" s="150">
        <f t="shared" si="584"/>
        <v>0.5</v>
      </c>
      <c r="R1191" s="148">
        <v>1</v>
      </c>
      <c r="S1191" s="150">
        <f t="shared" si="585"/>
        <v>1.5</v>
      </c>
      <c r="T1191" s="152" t="s">
        <v>48</v>
      </c>
    </row>
    <row r="1192" spans="3:20" ht="20.25" customHeight="1">
      <c r="C1192" s="96">
        <f>D1192</f>
        <v>1192</v>
      </c>
      <c r="D1192" s="102">
        <f t="shared" si="564"/>
        <v>1192</v>
      </c>
      <c r="E1192" s="103" t="s">
        <v>775</v>
      </c>
      <c r="F1192" s="108">
        <f>D1189</f>
        <v>1189</v>
      </c>
      <c r="G1192" s="105"/>
      <c r="H1192" s="105"/>
      <c r="I1192" s="104"/>
      <c r="J1192" s="104"/>
      <c r="K1192" s="118"/>
      <c r="L1192" s="118"/>
      <c r="M1192" s="119"/>
      <c r="N1192" s="104"/>
      <c r="O1192" s="120"/>
      <c r="P1192" s="104"/>
      <c r="Q1192" s="150"/>
      <c r="R1192" s="148"/>
      <c r="S1192" s="150"/>
      <c r="T1192" s="152"/>
    </row>
    <row r="1193" spans="3:20" ht="20.25" customHeight="1">
      <c r="C1193" s="96"/>
      <c r="D1193" s="102">
        <f t="shared" si="564"/>
        <v>1193</v>
      </c>
      <c r="E1193" s="106" t="s">
        <v>571</v>
      </c>
      <c r="F1193" s="108">
        <f t="shared" ref="F1193:F1198" si="586">D1192</f>
        <v>1192</v>
      </c>
      <c r="G1193" s="105" t="s">
        <v>37</v>
      </c>
      <c r="H1193" s="105"/>
      <c r="I1193" s="104" t="s">
        <v>560</v>
      </c>
      <c r="J1193" s="104" t="str">
        <f>J1191</f>
        <v>40NB</v>
      </c>
      <c r="K1193" s="118">
        <v>1</v>
      </c>
      <c r="L1193" s="118" t="s">
        <v>81</v>
      </c>
      <c r="M1193" s="119">
        <v>1</v>
      </c>
      <c r="N1193" s="104" t="s">
        <v>81</v>
      </c>
      <c r="O1193" s="120">
        <v>0.5</v>
      </c>
      <c r="P1193" s="104" t="s">
        <v>112</v>
      </c>
      <c r="Q1193" s="150">
        <f t="shared" ref="Q1193:Q1198" si="587">M1193*O1193</f>
        <v>0.5</v>
      </c>
      <c r="R1193" s="148">
        <v>1</v>
      </c>
      <c r="S1193" s="150">
        <f t="shared" ref="S1193:S1198" si="588">Q1193+R1193</f>
        <v>1.5</v>
      </c>
      <c r="T1193" s="152" t="s">
        <v>48</v>
      </c>
    </row>
    <row r="1194" spans="3:20" ht="20.25" customHeight="1">
      <c r="C1194" s="96"/>
      <c r="D1194" s="102">
        <f t="shared" si="564"/>
        <v>1194</v>
      </c>
      <c r="E1194" s="106" t="s">
        <v>572</v>
      </c>
      <c r="F1194" s="108">
        <f t="shared" si="586"/>
        <v>1193</v>
      </c>
      <c r="G1194" s="105" t="s">
        <v>115</v>
      </c>
      <c r="H1194" s="105"/>
      <c r="I1194" s="104">
        <v>10</v>
      </c>
      <c r="J1194" s="112" t="s">
        <v>573</v>
      </c>
      <c r="K1194" s="118">
        <v>1</v>
      </c>
      <c r="L1194" s="118" t="s">
        <v>39</v>
      </c>
      <c r="M1194" s="128">
        <f t="shared" ref="M1194:M1195" si="589">LEFT(J1194,SEARCH(" ",J1194,1)-1)*K1194*3.142/1000</f>
        <v>0.23565</v>
      </c>
      <c r="N1194" s="104"/>
      <c r="O1194" s="162">
        <f>VLOOKUP(I1194,BM!$B$3:$Y$62,17,FALSE)</f>
        <v>1.88</v>
      </c>
      <c r="P1194" s="104" t="s">
        <v>112</v>
      </c>
      <c r="Q1194" s="150">
        <f t="shared" si="587"/>
        <v>0.44302199999999997</v>
      </c>
      <c r="R1194" s="148">
        <v>1</v>
      </c>
      <c r="S1194" s="150">
        <f t="shared" si="588"/>
        <v>1.443022</v>
      </c>
      <c r="T1194" s="152" t="s">
        <v>48</v>
      </c>
    </row>
    <row r="1195" spans="3:20" ht="20.25" customHeight="1">
      <c r="C1195" s="96"/>
      <c r="D1195" s="102">
        <f t="shared" si="564"/>
        <v>1195</v>
      </c>
      <c r="E1195" s="106" t="s">
        <v>574</v>
      </c>
      <c r="F1195" s="108">
        <f t="shared" si="586"/>
        <v>1194</v>
      </c>
      <c r="G1195" s="105" t="s">
        <v>115</v>
      </c>
      <c r="H1195" s="105"/>
      <c r="I1195" s="104">
        <v>10</v>
      </c>
      <c r="J1195" s="108" t="str">
        <f>J1194</f>
        <v>75 MM</v>
      </c>
      <c r="K1195" s="118">
        <v>1</v>
      </c>
      <c r="L1195" s="118" t="s">
        <v>39</v>
      </c>
      <c r="M1195" s="128">
        <f t="shared" si="589"/>
        <v>0.23565</v>
      </c>
      <c r="N1195" s="104"/>
      <c r="O1195" s="162">
        <f>VLOOKUP(I1195,BM!$B$3:$Y$62,17,FALSE)</f>
        <v>1.88</v>
      </c>
      <c r="P1195" s="104" t="s">
        <v>112</v>
      </c>
      <c r="Q1195" s="150">
        <f t="shared" si="587"/>
        <v>0.44302199999999997</v>
      </c>
      <c r="R1195" s="148">
        <v>1</v>
      </c>
      <c r="S1195" s="150">
        <f t="shared" si="588"/>
        <v>1.443022</v>
      </c>
      <c r="T1195" s="152" t="s">
        <v>48</v>
      </c>
    </row>
    <row r="1196" spans="3:20" ht="20.25" customHeight="1">
      <c r="C1196" s="96"/>
      <c r="D1196" s="102">
        <f t="shared" si="564"/>
        <v>1196</v>
      </c>
      <c r="E1196" s="106" t="s">
        <v>575</v>
      </c>
      <c r="F1196" s="108">
        <f t="shared" si="586"/>
        <v>1195</v>
      </c>
      <c r="G1196" s="105" t="s">
        <v>44</v>
      </c>
      <c r="H1196" s="105"/>
      <c r="I1196" s="104"/>
      <c r="J1196" s="108" t="str">
        <f>J1195</f>
        <v>75 MM</v>
      </c>
      <c r="K1196" s="118">
        <v>2</v>
      </c>
      <c r="L1196" s="118" t="s">
        <v>39</v>
      </c>
      <c r="M1196" s="119">
        <v>2</v>
      </c>
      <c r="N1196" s="104"/>
      <c r="O1196" s="120">
        <v>0.5</v>
      </c>
      <c r="P1196" s="104" t="s">
        <v>112</v>
      </c>
      <c r="Q1196" s="150">
        <f t="shared" si="587"/>
        <v>1</v>
      </c>
      <c r="R1196" s="148">
        <v>1</v>
      </c>
      <c r="S1196" s="150">
        <f t="shared" si="588"/>
        <v>2</v>
      </c>
      <c r="T1196" s="152" t="s">
        <v>48</v>
      </c>
    </row>
    <row r="1197" spans="3:20" ht="20.25" customHeight="1">
      <c r="C1197" s="96"/>
      <c r="D1197" s="102">
        <f t="shared" si="564"/>
        <v>1197</v>
      </c>
      <c r="E1197" s="106" t="s">
        <v>576</v>
      </c>
      <c r="F1197" s="108">
        <f t="shared" si="586"/>
        <v>1196</v>
      </c>
      <c r="G1197" s="105" t="s">
        <v>115</v>
      </c>
      <c r="H1197" s="105"/>
      <c r="I1197" s="104">
        <v>10</v>
      </c>
      <c r="J1197" s="108" t="str">
        <f>J1196</f>
        <v>75 MM</v>
      </c>
      <c r="K1197" s="118">
        <v>1</v>
      </c>
      <c r="L1197" s="118" t="s">
        <v>39</v>
      </c>
      <c r="M1197" s="128">
        <f t="shared" ref="M1197:M1198" si="590">LEFT(J1197,SEARCH(" ",J1197,1)-1)*K1197*3.142/1000</f>
        <v>0.23565</v>
      </c>
      <c r="N1197" s="104"/>
      <c r="O1197" s="162">
        <f>VLOOKUP(I1197,BM!$B$3:$Y$62,17,FALSE)</f>
        <v>1.88</v>
      </c>
      <c r="P1197" s="104" t="s">
        <v>112</v>
      </c>
      <c r="Q1197" s="150">
        <f t="shared" si="587"/>
        <v>0.44302199999999997</v>
      </c>
      <c r="R1197" s="148">
        <v>1</v>
      </c>
      <c r="S1197" s="150">
        <f t="shared" si="588"/>
        <v>1.443022</v>
      </c>
      <c r="T1197" s="152" t="s">
        <v>48</v>
      </c>
    </row>
    <row r="1198" spans="3:20" ht="20.25" customHeight="1">
      <c r="C1198" s="96"/>
      <c r="D1198" s="102">
        <f t="shared" si="564"/>
        <v>1198</v>
      </c>
      <c r="E1198" s="106" t="s">
        <v>577</v>
      </c>
      <c r="F1198" s="108">
        <f t="shared" si="586"/>
        <v>1197</v>
      </c>
      <c r="G1198" s="105" t="s">
        <v>115</v>
      </c>
      <c r="H1198" s="105"/>
      <c r="I1198" s="104">
        <v>10</v>
      </c>
      <c r="J1198" s="108" t="str">
        <f>J1197</f>
        <v>75 MM</v>
      </c>
      <c r="K1198" s="118">
        <v>1</v>
      </c>
      <c r="L1198" s="118" t="s">
        <v>39</v>
      </c>
      <c r="M1198" s="128">
        <f t="shared" si="590"/>
        <v>0.23565</v>
      </c>
      <c r="N1198" s="104"/>
      <c r="O1198" s="162">
        <f>VLOOKUP(I1198,BM!$B$3:$Y$62,17,FALSE)</f>
        <v>1.88</v>
      </c>
      <c r="P1198" s="104" t="s">
        <v>112</v>
      </c>
      <c r="Q1198" s="150">
        <f t="shared" si="587"/>
        <v>0.44302199999999997</v>
      </c>
      <c r="R1198" s="148">
        <v>1</v>
      </c>
      <c r="S1198" s="150">
        <f t="shared" si="588"/>
        <v>1.443022</v>
      </c>
      <c r="T1198" s="152" t="s">
        <v>48</v>
      </c>
    </row>
    <row r="1199" spans="3:20" ht="20.25" customHeight="1">
      <c r="C1199" s="96">
        <f>D1199</f>
        <v>1199</v>
      </c>
      <c r="D1199" s="102">
        <f t="shared" si="564"/>
        <v>1199</v>
      </c>
      <c r="E1199" s="103" t="s">
        <v>578</v>
      </c>
      <c r="F1199" s="108">
        <f>D1192</f>
        <v>1192</v>
      </c>
      <c r="G1199" s="105"/>
      <c r="H1199" s="105"/>
      <c r="I1199" s="104"/>
      <c r="J1199" s="104"/>
      <c r="K1199" s="118"/>
      <c r="L1199" s="118"/>
      <c r="M1199" s="119"/>
      <c r="N1199" s="104"/>
      <c r="O1199" s="120"/>
      <c r="P1199" s="104"/>
      <c r="Q1199" s="150"/>
      <c r="R1199" s="148"/>
      <c r="S1199" s="150"/>
      <c r="T1199" s="152"/>
    </row>
    <row r="1200" spans="3:20" ht="20.25" customHeight="1">
      <c r="C1200" s="96"/>
      <c r="D1200" s="102">
        <f t="shared" si="564"/>
        <v>1200</v>
      </c>
      <c r="E1200" s="106" t="s">
        <v>579</v>
      </c>
      <c r="F1200" s="108">
        <f t="shared" ref="F1200:F1201" si="591">D1199</f>
        <v>1199</v>
      </c>
      <c r="G1200" s="105" t="s">
        <v>149</v>
      </c>
      <c r="H1200" s="105"/>
      <c r="I1200" s="104">
        <v>20</v>
      </c>
      <c r="J1200" s="108" t="str">
        <f>J1191</f>
        <v>40NB</v>
      </c>
      <c r="K1200" s="118">
        <v>1</v>
      </c>
      <c r="L1200" s="118" t="s">
        <v>39</v>
      </c>
      <c r="M1200" s="119">
        <v>1</v>
      </c>
      <c r="N1200" s="104" t="s">
        <v>564</v>
      </c>
      <c r="O1200" s="162">
        <f>VLOOKUP(I1200,BM!$B$3:$Y$62,23,FALSE)</f>
        <v>8</v>
      </c>
      <c r="P1200" s="104" t="s">
        <v>112</v>
      </c>
      <c r="Q1200" s="150">
        <f t="shared" ref="Q1200:Q1201" si="592">M1200*O1200</f>
        <v>8</v>
      </c>
      <c r="R1200" s="148">
        <v>1</v>
      </c>
      <c r="S1200" s="150">
        <f t="shared" ref="S1200:S1201" si="593">Q1200+R1200</f>
        <v>9</v>
      </c>
      <c r="T1200" s="152" t="s">
        <v>48</v>
      </c>
    </row>
    <row r="1201" spans="3:20" ht="20.25" customHeight="1">
      <c r="C1201" s="96"/>
      <c r="D1201" s="102">
        <f t="shared" si="564"/>
        <v>1201</v>
      </c>
      <c r="E1201" s="106" t="s">
        <v>580</v>
      </c>
      <c r="F1201" s="108">
        <f t="shared" si="591"/>
        <v>1200</v>
      </c>
      <c r="G1201" s="105" t="s">
        <v>63</v>
      </c>
      <c r="H1201" s="105"/>
      <c r="I1201" s="104" t="s">
        <v>581</v>
      </c>
      <c r="J1201" s="108" t="str">
        <f>J1191</f>
        <v>40NB</v>
      </c>
      <c r="K1201" s="118">
        <v>1</v>
      </c>
      <c r="L1201" s="118" t="s">
        <v>485</v>
      </c>
      <c r="M1201" s="119">
        <v>1</v>
      </c>
      <c r="N1201" s="104" t="s">
        <v>39</v>
      </c>
      <c r="O1201" s="120">
        <v>1</v>
      </c>
      <c r="P1201" s="104" t="s">
        <v>41</v>
      </c>
      <c r="Q1201" s="150">
        <f t="shared" si="592"/>
        <v>1</v>
      </c>
      <c r="R1201" s="148"/>
      <c r="S1201" s="150">
        <f t="shared" si="593"/>
        <v>1</v>
      </c>
      <c r="T1201" s="152" t="s">
        <v>48</v>
      </c>
    </row>
    <row r="1202" spans="3:20" ht="20.25" customHeight="1">
      <c r="C1202" s="96">
        <f t="shared" ref="C1202:C1203" si="594">D1202</f>
        <v>1202</v>
      </c>
      <c r="D1202" s="102">
        <f t="shared" si="564"/>
        <v>1202</v>
      </c>
      <c r="E1202" s="163" t="s">
        <v>582</v>
      </c>
      <c r="F1202" s="108"/>
      <c r="G1202" s="105"/>
      <c r="H1202" s="105"/>
      <c r="I1202" s="104"/>
      <c r="J1202" s="104"/>
      <c r="K1202" s="118"/>
      <c r="L1202" s="118"/>
      <c r="M1202" s="119"/>
      <c r="N1202" s="104"/>
      <c r="O1202" s="120"/>
      <c r="P1202" s="104"/>
      <c r="Q1202" s="150"/>
      <c r="R1202" s="148"/>
      <c r="S1202" s="150"/>
      <c r="T1202" s="152"/>
    </row>
    <row r="1203" spans="3:20" ht="20.25" customHeight="1">
      <c r="C1203" s="96">
        <f t="shared" si="594"/>
        <v>1203</v>
      </c>
      <c r="D1203" s="102">
        <f t="shared" si="564"/>
        <v>1203</v>
      </c>
      <c r="E1203" s="103" t="s">
        <v>583</v>
      </c>
      <c r="F1203" s="112">
        <f>D641</f>
        <v>641</v>
      </c>
      <c r="G1203" s="105"/>
      <c r="H1203" s="105"/>
      <c r="I1203" s="104"/>
      <c r="J1203" s="104"/>
      <c r="K1203" s="118"/>
      <c r="L1203" s="118"/>
      <c r="M1203" s="119"/>
      <c r="N1203" s="104"/>
      <c r="O1203" s="120"/>
      <c r="P1203" s="104"/>
      <c r="Q1203" s="150"/>
      <c r="R1203" s="148"/>
      <c r="S1203" s="150"/>
      <c r="T1203" s="152"/>
    </row>
    <row r="1204" spans="3:20" ht="20.25" customHeight="1">
      <c r="C1204" s="96"/>
      <c r="D1204" s="102">
        <f t="shared" si="564"/>
        <v>1204</v>
      </c>
      <c r="E1204" s="106" t="s">
        <v>584</v>
      </c>
      <c r="F1204" s="108">
        <f t="shared" ref="F1204:F1208" si="595">D1203</f>
        <v>1203</v>
      </c>
      <c r="G1204" s="105" t="s">
        <v>37</v>
      </c>
      <c r="H1204" s="105"/>
      <c r="I1204" s="104"/>
      <c r="J1204" s="104"/>
      <c r="K1204" s="118">
        <v>1</v>
      </c>
      <c r="L1204" s="141" t="s">
        <v>39</v>
      </c>
      <c r="M1204" s="119">
        <v>1</v>
      </c>
      <c r="N1204" s="104"/>
      <c r="O1204" s="120">
        <v>4</v>
      </c>
      <c r="P1204" s="104" t="s">
        <v>41</v>
      </c>
      <c r="Q1204" s="150">
        <f t="shared" ref="Q1204:Q1208" si="596">M1204*O1204</f>
        <v>4</v>
      </c>
      <c r="R1204" s="148"/>
      <c r="S1204" s="150">
        <f t="shared" ref="S1204:S1208" si="597">Q1204+R1204</f>
        <v>4</v>
      </c>
      <c r="T1204" s="152" t="s">
        <v>48</v>
      </c>
    </row>
    <row r="1205" spans="3:20" ht="20.25" customHeight="1">
      <c r="C1205" s="96"/>
      <c r="D1205" s="102">
        <f t="shared" si="564"/>
        <v>1205</v>
      </c>
      <c r="E1205" s="106" t="s">
        <v>585</v>
      </c>
      <c r="F1205" s="108">
        <f t="shared" si="595"/>
        <v>1204</v>
      </c>
      <c r="G1205" s="105" t="s">
        <v>44</v>
      </c>
      <c r="H1205" s="105"/>
      <c r="I1205" s="104">
        <v>50</v>
      </c>
      <c r="J1205" s="132" t="s">
        <v>586</v>
      </c>
      <c r="K1205" s="118">
        <v>1</v>
      </c>
      <c r="L1205" s="118" t="s">
        <v>81</v>
      </c>
      <c r="M1205" s="128">
        <f>LEFT(J1205,SEARCH(" ",J1205,1)-1)*1.28*3.142/1000</f>
        <v>6.2337280000000002</v>
      </c>
      <c r="N1205" s="104" t="s">
        <v>139</v>
      </c>
      <c r="O1205" s="162">
        <f>VLOOKUP(I1205,BM!$B$3:$Y$62,2,FALSE)</f>
        <v>0.1</v>
      </c>
      <c r="P1205" s="104" t="s">
        <v>112</v>
      </c>
      <c r="Q1205" s="150">
        <f t="shared" si="596"/>
        <v>0.62337280000000006</v>
      </c>
      <c r="R1205" s="148">
        <v>1</v>
      </c>
      <c r="S1205" s="150">
        <f t="shared" si="597"/>
        <v>1.6233728000000001</v>
      </c>
      <c r="T1205" s="152" t="s">
        <v>48</v>
      </c>
    </row>
    <row r="1206" spans="3:20" ht="20.25" customHeight="1">
      <c r="C1206" s="96"/>
      <c r="D1206" s="102">
        <f t="shared" si="564"/>
        <v>1206</v>
      </c>
      <c r="E1206" s="106" t="s">
        <v>587</v>
      </c>
      <c r="F1206" s="108">
        <f t="shared" si="595"/>
        <v>1205</v>
      </c>
      <c r="G1206" s="105" t="s">
        <v>44</v>
      </c>
      <c r="H1206" s="105"/>
      <c r="I1206" s="108">
        <v>50</v>
      </c>
      <c r="J1206" s="132" t="s">
        <v>586</v>
      </c>
      <c r="K1206" s="118">
        <v>1</v>
      </c>
      <c r="L1206" s="118" t="s">
        <v>81</v>
      </c>
      <c r="M1206" s="142">
        <v>1</v>
      </c>
      <c r="N1206" s="132" t="s">
        <v>81</v>
      </c>
      <c r="O1206" s="162">
        <v>1</v>
      </c>
      <c r="P1206" s="132" t="s">
        <v>162</v>
      </c>
      <c r="Q1206" s="150">
        <f t="shared" si="596"/>
        <v>1</v>
      </c>
      <c r="R1206" s="148">
        <v>1</v>
      </c>
      <c r="S1206" s="150">
        <f t="shared" si="597"/>
        <v>2</v>
      </c>
      <c r="T1206" s="152" t="s">
        <v>48</v>
      </c>
    </row>
    <row r="1207" spans="3:20" ht="20.25" customHeight="1">
      <c r="C1207" s="96"/>
      <c r="D1207" s="102">
        <f t="shared" si="564"/>
        <v>1207</v>
      </c>
      <c r="E1207" s="106" t="s">
        <v>588</v>
      </c>
      <c r="F1207" s="108">
        <f t="shared" si="595"/>
        <v>1206</v>
      </c>
      <c r="G1207" s="105" t="s">
        <v>52</v>
      </c>
      <c r="H1207" s="105"/>
      <c r="I1207" s="108">
        <v>50</v>
      </c>
      <c r="J1207" s="132" t="s">
        <v>586</v>
      </c>
      <c r="K1207" s="118">
        <v>1</v>
      </c>
      <c r="L1207" s="118" t="s">
        <v>81</v>
      </c>
      <c r="M1207" s="128">
        <f>LEFT(J1207,SEARCH(" ",J1207,1)-1)*1.28*3.142/1000</f>
        <v>6.2337280000000002</v>
      </c>
      <c r="N1207" s="104" t="s">
        <v>139</v>
      </c>
      <c r="O1207" s="162">
        <f>VLOOKUP(I1207,BM!$B$3:$Y$62,3,FALSE)</f>
        <v>0.25</v>
      </c>
      <c r="P1207" s="104" t="s">
        <v>112</v>
      </c>
      <c r="Q1207" s="150">
        <f t="shared" si="596"/>
        <v>1.558432</v>
      </c>
      <c r="R1207" s="148">
        <v>1</v>
      </c>
      <c r="S1207" s="150">
        <f t="shared" si="597"/>
        <v>2.5584319999999998</v>
      </c>
      <c r="T1207" s="152" t="s">
        <v>48</v>
      </c>
    </row>
    <row r="1208" spans="3:20" ht="20.25" customHeight="1">
      <c r="C1208" s="96"/>
      <c r="D1208" s="102">
        <f t="shared" si="564"/>
        <v>1208</v>
      </c>
      <c r="E1208" s="106" t="s">
        <v>589</v>
      </c>
      <c r="F1208" s="108">
        <f t="shared" si="595"/>
        <v>1207</v>
      </c>
      <c r="G1208" s="105" t="s">
        <v>61</v>
      </c>
      <c r="H1208" s="105"/>
      <c r="I1208" s="108">
        <f>I1205</f>
        <v>50</v>
      </c>
      <c r="J1208" s="132" t="s">
        <v>586</v>
      </c>
      <c r="K1208" s="118">
        <v>1</v>
      </c>
      <c r="L1208" s="118" t="s">
        <v>81</v>
      </c>
      <c r="M1208" s="128">
        <f>LEFT(J1208,SEARCH(" ",J1208,1)-1)*1.28*3.142/1000</f>
        <v>6.2337280000000002</v>
      </c>
      <c r="N1208" s="104" t="s">
        <v>139</v>
      </c>
      <c r="O1208" s="162">
        <f>VLOOKUP(I1208,BM!$B$3:$Y$62,6,FALSE)</f>
        <v>1</v>
      </c>
      <c r="P1208" s="104" t="s">
        <v>112</v>
      </c>
      <c r="Q1208" s="150">
        <f t="shared" si="596"/>
        <v>6.2337280000000002</v>
      </c>
      <c r="R1208" s="148">
        <v>1</v>
      </c>
      <c r="S1208" s="150">
        <f t="shared" si="597"/>
        <v>7.2337280000000002</v>
      </c>
      <c r="T1208" s="152" t="s">
        <v>48</v>
      </c>
    </row>
    <row r="1209" spans="3:20" ht="20.25" customHeight="1">
      <c r="C1209" s="96">
        <f>D1209</f>
        <v>1209</v>
      </c>
      <c r="D1209" s="102">
        <f t="shared" si="564"/>
        <v>1209</v>
      </c>
      <c r="E1209" s="103" t="s">
        <v>590</v>
      </c>
      <c r="F1209" s="108">
        <f>D1203</f>
        <v>1203</v>
      </c>
      <c r="G1209" s="105"/>
      <c r="H1209" s="105"/>
      <c r="I1209" s="104"/>
      <c r="J1209" s="104"/>
      <c r="K1209" s="118"/>
      <c r="L1209" s="118"/>
      <c r="M1209" s="119"/>
      <c r="N1209" s="104"/>
      <c r="O1209" s="120"/>
      <c r="P1209" s="104"/>
      <c r="Q1209" s="150"/>
      <c r="R1209" s="148"/>
      <c r="S1209" s="150"/>
      <c r="T1209" s="152"/>
    </row>
    <row r="1210" spans="3:20" ht="20.25" customHeight="1">
      <c r="C1210" s="96"/>
      <c r="D1210" s="102">
        <f t="shared" si="564"/>
        <v>1210</v>
      </c>
      <c r="E1210" s="106" t="s">
        <v>591</v>
      </c>
      <c r="F1210" s="108">
        <f t="shared" ref="F1210:F1211" si="598">D1209</f>
        <v>1209</v>
      </c>
      <c r="G1210" s="105" t="s">
        <v>55</v>
      </c>
      <c r="H1210" s="105"/>
      <c r="I1210" s="108">
        <f>I1208</f>
        <v>50</v>
      </c>
      <c r="J1210" s="104" t="str">
        <f>J1207</f>
        <v>1550 mm id</v>
      </c>
      <c r="K1210" s="118">
        <v>1</v>
      </c>
      <c r="L1210" s="118" t="s">
        <v>81</v>
      </c>
      <c r="M1210" s="119">
        <v>1</v>
      </c>
      <c r="N1210" s="104" t="s">
        <v>39</v>
      </c>
      <c r="O1210" s="120">
        <v>10</v>
      </c>
      <c r="P1210" s="104" t="s">
        <v>41</v>
      </c>
      <c r="Q1210" s="150">
        <f t="shared" ref="Q1210:Q1211" si="599">M1210*O1210</f>
        <v>10</v>
      </c>
      <c r="R1210" s="148"/>
      <c r="S1210" s="150">
        <f t="shared" ref="S1210:S1211" si="600">Q1210+R1210</f>
        <v>10</v>
      </c>
      <c r="T1210" s="152" t="s">
        <v>48</v>
      </c>
    </row>
    <row r="1211" spans="3:20" ht="20.25" customHeight="1">
      <c r="C1211" s="96"/>
      <c r="D1211" s="102">
        <f t="shared" si="564"/>
        <v>1211</v>
      </c>
      <c r="E1211" s="106" t="s">
        <v>592</v>
      </c>
      <c r="F1211" s="108">
        <f t="shared" si="598"/>
        <v>1210</v>
      </c>
      <c r="G1211" s="105" t="s">
        <v>44</v>
      </c>
      <c r="H1211" s="105"/>
      <c r="I1211" s="108">
        <f>I1208</f>
        <v>50</v>
      </c>
      <c r="J1211" s="104" t="str">
        <f>J1208</f>
        <v>1550 mm id</v>
      </c>
      <c r="K1211" s="118">
        <v>1</v>
      </c>
      <c r="L1211" s="118" t="s">
        <v>81</v>
      </c>
      <c r="M1211" s="119">
        <v>1</v>
      </c>
      <c r="N1211" s="104" t="s">
        <v>39</v>
      </c>
      <c r="O1211" s="120">
        <v>1</v>
      </c>
      <c r="P1211" s="104" t="s">
        <v>41</v>
      </c>
      <c r="Q1211" s="150">
        <f t="shared" si="599"/>
        <v>1</v>
      </c>
      <c r="R1211" s="148"/>
      <c r="S1211" s="150">
        <f t="shared" si="600"/>
        <v>1</v>
      </c>
      <c r="T1211" s="152" t="s">
        <v>48</v>
      </c>
    </row>
    <row r="1212" spans="3:20" ht="20.25" customHeight="1">
      <c r="C1212" s="96">
        <f>D1212</f>
        <v>1212</v>
      </c>
      <c r="D1212" s="102">
        <f t="shared" si="564"/>
        <v>1212</v>
      </c>
      <c r="E1212" s="103" t="s">
        <v>593</v>
      </c>
      <c r="F1212" s="108">
        <f>D1209</f>
        <v>1209</v>
      </c>
      <c r="G1212" s="105"/>
      <c r="H1212" s="105"/>
      <c r="I1212" s="104"/>
      <c r="J1212" s="104"/>
      <c r="K1212" s="118"/>
      <c r="L1212" s="118"/>
      <c r="M1212" s="119"/>
      <c r="N1212" s="104"/>
      <c r="O1212" s="120"/>
      <c r="P1212" s="104"/>
      <c r="Q1212" s="150"/>
      <c r="R1212" s="148"/>
      <c r="S1212" s="150"/>
      <c r="T1212" s="152"/>
    </row>
    <row r="1213" spans="3:20" ht="20.25" customHeight="1">
      <c r="C1213" s="96"/>
      <c r="D1213" s="102">
        <f t="shared" si="564"/>
        <v>1213</v>
      </c>
      <c r="E1213" s="106" t="s">
        <v>594</v>
      </c>
      <c r="F1213" s="108">
        <f t="shared" ref="F1213:F1214" si="601">D1212</f>
        <v>1212</v>
      </c>
      <c r="G1213" s="105" t="s">
        <v>44</v>
      </c>
      <c r="H1213" s="105"/>
      <c r="I1213" s="108">
        <f>I1211</f>
        <v>50</v>
      </c>
      <c r="J1213" s="104" t="str">
        <f>J1211</f>
        <v>1550 mm id</v>
      </c>
      <c r="K1213" s="118">
        <v>1</v>
      </c>
      <c r="L1213" s="118" t="s">
        <v>81</v>
      </c>
      <c r="M1213" s="119">
        <v>1</v>
      </c>
      <c r="N1213" s="104" t="s">
        <v>39</v>
      </c>
      <c r="O1213" s="120">
        <v>4</v>
      </c>
      <c r="P1213" s="104" t="s">
        <v>595</v>
      </c>
      <c r="Q1213" s="150">
        <f t="shared" ref="Q1213:Q1214" si="602">M1213*O1213</f>
        <v>4</v>
      </c>
      <c r="R1213" s="148"/>
      <c r="S1213" s="150">
        <f t="shared" ref="S1213:S1214" si="603">Q1213+R1213</f>
        <v>4</v>
      </c>
      <c r="T1213" s="152" t="s">
        <v>48</v>
      </c>
    </row>
    <row r="1214" spans="3:20" ht="20.25" customHeight="1">
      <c r="C1214" s="96"/>
      <c r="D1214" s="102">
        <f t="shared" si="564"/>
        <v>1214</v>
      </c>
      <c r="E1214" s="106" t="s">
        <v>593</v>
      </c>
      <c r="F1214" s="108">
        <f t="shared" si="601"/>
        <v>1213</v>
      </c>
      <c r="G1214" s="105" t="s">
        <v>52</v>
      </c>
      <c r="H1214" s="105"/>
      <c r="I1214" s="108">
        <f>I1211</f>
        <v>50</v>
      </c>
      <c r="J1214" s="104" t="str">
        <f>J1211</f>
        <v>1550 mm id</v>
      </c>
      <c r="K1214" s="118">
        <v>1</v>
      </c>
      <c r="L1214" s="118" t="s">
        <v>81</v>
      </c>
      <c r="M1214" s="128">
        <f>LEFT(J1214,SEARCH(" ",J1214,1)-1)*1.28*3.142/1000</f>
        <v>6.2337280000000002</v>
      </c>
      <c r="N1214" s="104" t="s">
        <v>249</v>
      </c>
      <c r="O1214" s="162">
        <f>VLOOKUP(I1214,BM!$B$3:$Y$62,2,FALSE)</f>
        <v>0.1</v>
      </c>
      <c r="P1214" s="104" t="s">
        <v>112</v>
      </c>
      <c r="Q1214" s="150">
        <f t="shared" si="602"/>
        <v>0.62337280000000006</v>
      </c>
      <c r="R1214" s="148">
        <v>2</v>
      </c>
      <c r="S1214" s="150">
        <f t="shared" si="603"/>
        <v>2.6233728000000003</v>
      </c>
      <c r="T1214" s="152" t="s">
        <v>48</v>
      </c>
    </row>
    <row r="1215" spans="3:20" ht="20.25" customHeight="1">
      <c r="C1215" s="96">
        <f>D1215</f>
        <v>1215</v>
      </c>
      <c r="D1215" s="102">
        <f t="shared" si="564"/>
        <v>1215</v>
      </c>
      <c r="E1215" s="103" t="s">
        <v>596</v>
      </c>
      <c r="F1215" s="108">
        <f>D1212</f>
        <v>1212</v>
      </c>
      <c r="G1215" s="105"/>
      <c r="H1215" s="105"/>
      <c r="I1215" s="104"/>
      <c r="J1215" s="104"/>
      <c r="K1215" s="118"/>
      <c r="L1215" s="118"/>
      <c r="M1215" s="119"/>
      <c r="N1215" s="104"/>
      <c r="O1215" s="120"/>
      <c r="P1215" s="104"/>
      <c r="Q1215" s="150"/>
      <c r="R1215" s="148"/>
      <c r="S1215" s="150"/>
      <c r="T1215" s="152"/>
    </row>
    <row r="1216" spans="3:20" ht="20.25" customHeight="1">
      <c r="C1216" s="96"/>
      <c r="D1216" s="102">
        <f t="shared" si="564"/>
        <v>1216</v>
      </c>
      <c r="E1216" s="106" t="s">
        <v>597</v>
      </c>
      <c r="F1216" s="108">
        <f t="shared" ref="F1216" si="604">D1215</f>
        <v>1215</v>
      </c>
      <c r="G1216" s="105" t="s">
        <v>121</v>
      </c>
      <c r="H1216" s="105"/>
      <c r="I1216" s="108">
        <v>25</v>
      </c>
      <c r="J1216" s="104" t="str">
        <f>J1214</f>
        <v>1550 mm id</v>
      </c>
      <c r="K1216" s="118">
        <v>1</v>
      </c>
      <c r="L1216" s="118" t="s">
        <v>81</v>
      </c>
      <c r="M1216" s="128">
        <f>LEFT(J1216,SEARCH(" ",J1216,1)-1)*1.28*3.142/1000</f>
        <v>6.2337280000000002</v>
      </c>
      <c r="N1216" s="104" t="s">
        <v>249</v>
      </c>
      <c r="O1216" s="162">
        <f>VLOOKUP(I1216,BM!$B$3:$Y$62,6,FALSE)</f>
        <v>1</v>
      </c>
      <c r="P1216" s="104" t="s">
        <v>112</v>
      </c>
      <c r="Q1216" s="150">
        <f t="shared" ref="Q1216" si="605">M1216*O1216</f>
        <v>6.2337280000000002</v>
      </c>
      <c r="R1216" s="148">
        <v>2</v>
      </c>
      <c r="S1216" s="150">
        <f t="shared" ref="S1216" si="606">Q1216+R1216</f>
        <v>8.2337279999999993</v>
      </c>
      <c r="T1216" s="152" t="s">
        <v>48</v>
      </c>
    </row>
    <row r="1217" spans="3:20" ht="20.25" customHeight="1">
      <c r="C1217" s="96">
        <f>D1217</f>
        <v>1217</v>
      </c>
      <c r="D1217" s="102">
        <f t="shared" si="564"/>
        <v>1217</v>
      </c>
      <c r="E1217" s="103" t="s">
        <v>598</v>
      </c>
      <c r="F1217" s="108">
        <f>D1215</f>
        <v>1215</v>
      </c>
      <c r="G1217" s="105"/>
      <c r="H1217" s="105"/>
      <c r="I1217" s="104"/>
      <c r="J1217" s="104"/>
      <c r="K1217" s="118"/>
      <c r="L1217" s="118"/>
      <c r="M1217" s="119"/>
      <c r="N1217" s="104"/>
      <c r="O1217" s="120"/>
      <c r="P1217" s="104"/>
      <c r="Q1217" s="150"/>
      <c r="R1217" s="148"/>
      <c r="S1217" s="150"/>
      <c r="T1217" s="152"/>
    </row>
    <row r="1218" spans="3:20" ht="20.25" customHeight="1">
      <c r="C1218" s="96"/>
      <c r="D1218" s="102">
        <f t="shared" si="564"/>
        <v>1218</v>
      </c>
      <c r="E1218" s="106" t="s">
        <v>598</v>
      </c>
      <c r="F1218" s="108">
        <f t="shared" ref="F1218" si="607">D1217</f>
        <v>1217</v>
      </c>
      <c r="G1218" s="105" t="s">
        <v>111</v>
      </c>
      <c r="H1218" s="105"/>
      <c r="I1218" s="108">
        <f>I1216</f>
        <v>25</v>
      </c>
      <c r="J1218" s="104" t="str">
        <f>J1216</f>
        <v>1550 mm id</v>
      </c>
      <c r="K1218" s="118">
        <v>1</v>
      </c>
      <c r="L1218" s="118" t="s">
        <v>81</v>
      </c>
      <c r="M1218" s="128">
        <f>LEFT(J1218,SEARCH(" ",J1218,1)-1)*1.28*3.142/1000</f>
        <v>6.2337280000000002</v>
      </c>
      <c r="N1218" s="104" t="s">
        <v>249</v>
      </c>
      <c r="O1218" s="162">
        <f>VLOOKUP(I1218,BM!$B$3:$Y$62,15,FALSE)</f>
        <v>1</v>
      </c>
      <c r="P1218" s="104" t="s">
        <v>112</v>
      </c>
      <c r="Q1218" s="150">
        <f t="shared" ref="Q1218" si="608">M1218*O1218</f>
        <v>6.2337280000000002</v>
      </c>
      <c r="R1218" s="148">
        <v>2</v>
      </c>
      <c r="S1218" s="150">
        <f t="shared" ref="S1218" si="609">Q1218+R1218</f>
        <v>8.2337279999999993</v>
      </c>
      <c r="T1218" s="152" t="s">
        <v>48</v>
      </c>
    </row>
    <row r="1219" spans="3:20" ht="20.25" customHeight="1">
      <c r="C1219" s="96">
        <f>D1219</f>
        <v>1219</v>
      </c>
      <c r="D1219" s="102">
        <f t="shared" si="564"/>
        <v>1219</v>
      </c>
      <c r="E1219" s="103" t="s">
        <v>599</v>
      </c>
      <c r="F1219" s="108">
        <f>D1217</f>
        <v>1217</v>
      </c>
      <c r="G1219" s="105"/>
      <c r="H1219" s="105"/>
      <c r="I1219" s="104"/>
      <c r="J1219" s="104"/>
      <c r="K1219" s="118"/>
      <c r="L1219" s="118"/>
      <c r="M1219" s="119"/>
      <c r="N1219" s="104"/>
      <c r="O1219" s="120"/>
      <c r="P1219" s="104"/>
      <c r="Q1219" s="150"/>
      <c r="R1219" s="148"/>
      <c r="S1219" s="150"/>
      <c r="T1219" s="152"/>
    </row>
    <row r="1220" spans="3:20" ht="20.25" customHeight="1">
      <c r="C1220" s="96"/>
      <c r="D1220" s="102">
        <f t="shared" si="564"/>
        <v>1220</v>
      </c>
      <c r="E1220" s="106" t="s">
        <v>599</v>
      </c>
      <c r="F1220" s="108">
        <f t="shared" ref="F1220:F1224" si="610">D1219</f>
        <v>1219</v>
      </c>
      <c r="G1220" s="105" t="s">
        <v>115</v>
      </c>
      <c r="H1220" s="105"/>
      <c r="I1220" s="104">
        <v>30</v>
      </c>
      <c r="J1220" s="104" t="str">
        <f>J1218</f>
        <v>1550 mm id</v>
      </c>
      <c r="K1220" s="118">
        <v>1</v>
      </c>
      <c r="L1220" s="118" t="s">
        <v>81</v>
      </c>
      <c r="M1220" s="128">
        <f>LEFT(J1220,SEARCH(" ",J1220,1)-1)*1.28*3.142/1000</f>
        <v>6.2337280000000002</v>
      </c>
      <c r="N1220" s="104" t="s">
        <v>249</v>
      </c>
      <c r="O1220" s="162">
        <f>VLOOKUP(I1220,BM!$B$3:$Y$62,23,FALSE)</f>
        <v>16.8</v>
      </c>
      <c r="P1220" s="104" t="s">
        <v>112</v>
      </c>
      <c r="Q1220" s="150">
        <f t="shared" ref="Q1220:Q1224" si="611">M1220*O1220</f>
        <v>104.7266304</v>
      </c>
      <c r="R1220" s="148">
        <v>2</v>
      </c>
      <c r="S1220" s="150">
        <f t="shared" ref="S1220:S1224" si="612">Q1220+R1220</f>
        <v>106.7266304</v>
      </c>
      <c r="T1220" s="152" t="s">
        <v>48</v>
      </c>
    </row>
    <row r="1221" spans="3:20" ht="20.25" customHeight="1">
      <c r="C1221" s="96"/>
      <c r="D1221" s="102">
        <f t="shared" si="564"/>
        <v>1221</v>
      </c>
      <c r="E1221" s="106" t="s">
        <v>600</v>
      </c>
      <c r="F1221" s="108">
        <f t="shared" si="610"/>
        <v>1220</v>
      </c>
      <c r="G1221" s="105" t="s">
        <v>299</v>
      </c>
      <c r="H1221" s="105"/>
      <c r="I1221" s="104">
        <v>16</v>
      </c>
      <c r="J1221" s="104" t="str">
        <f>J1220</f>
        <v>1550 mm id</v>
      </c>
      <c r="K1221" s="118">
        <v>1</v>
      </c>
      <c r="L1221" s="118" t="s">
        <v>81</v>
      </c>
      <c r="M1221" s="119">
        <v>1</v>
      </c>
      <c r="N1221" s="104" t="s">
        <v>39</v>
      </c>
      <c r="O1221" s="120">
        <v>4</v>
      </c>
      <c r="P1221" s="104" t="s">
        <v>112</v>
      </c>
      <c r="Q1221" s="150">
        <f t="shared" si="611"/>
        <v>4</v>
      </c>
      <c r="R1221" s="148">
        <v>1</v>
      </c>
      <c r="S1221" s="150">
        <f t="shared" si="612"/>
        <v>5</v>
      </c>
      <c r="T1221" s="152" t="s">
        <v>48</v>
      </c>
    </row>
    <row r="1222" spans="3:20" ht="20.25" customHeight="1">
      <c r="C1222" s="96"/>
      <c r="D1222" s="102">
        <f t="shared" si="564"/>
        <v>1222</v>
      </c>
      <c r="E1222" s="106" t="s">
        <v>601</v>
      </c>
      <c r="F1222" s="108">
        <f t="shared" si="610"/>
        <v>1221</v>
      </c>
      <c r="G1222" s="105" t="s">
        <v>115</v>
      </c>
      <c r="H1222" s="105"/>
      <c r="I1222" s="104">
        <v>16</v>
      </c>
      <c r="J1222" s="132" t="s">
        <v>602</v>
      </c>
      <c r="K1222" s="118">
        <v>1</v>
      </c>
      <c r="L1222" s="118" t="s">
        <v>81</v>
      </c>
      <c r="M1222" s="128">
        <f>LEFT(J1222,SEARCH(" ",J1222,1)-1)/1000</f>
        <v>3</v>
      </c>
      <c r="N1222" s="104" t="s">
        <v>249</v>
      </c>
      <c r="O1222" s="162">
        <f>VLOOKUP(I1222,BM!$B$3:$Y$62,22,FALSE)</f>
        <v>2.8</v>
      </c>
      <c r="P1222" s="104" t="s">
        <v>112</v>
      </c>
      <c r="Q1222" s="150">
        <f t="shared" si="611"/>
        <v>8.3999999999999986</v>
      </c>
      <c r="R1222" s="148">
        <v>2</v>
      </c>
      <c r="S1222" s="150">
        <f t="shared" si="612"/>
        <v>10.399999999999999</v>
      </c>
      <c r="T1222" s="152" t="s">
        <v>48</v>
      </c>
    </row>
    <row r="1223" spans="3:20" ht="20.25" customHeight="1">
      <c r="C1223" s="96"/>
      <c r="D1223" s="102">
        <f t="shared" si="564"/>
        <v>1223</v>
      </c>
      <c r="E1223" s="106" t="s">
        <v>603</v>
      </c>
      <c r="F1223" s="108">
        <f t="shared" si="610"/>
        <v>1222</v>
      </c>
      <c r="G1223" s="105" t="s">
        <v>44</v>
      </c>
      <c r="H1223" s="105"/>
      <c r="I1223" s="104">
        <v>16</v>
      </c>
      <c r="J1223" s="104" t="str">
        <f>J1222</f>
        <v>3000 mm</v>
      </c>
      <c r="K1223" s="118">
        <v>1</v>
      </c>
      <c r="L1223" s="118" t="s">
        <v>81</v>
      </c>
      <c r="M1223" s="119">
        <v>1</v>
      </c>
      <c r="N1223" s="104" t="s">
        <v>39</v>
      </c>
      <c r="O1223" s="120">
        <v>6</v>
      </c>
      <c r="P1223" s="104" t="s">
        <v>112</v>
      </c>
      <c r="Q1223" s="150">
        <f t="shared" si="611"/>
        <v>6</v>
      </c>
      <c r="R1223" s="148">
        <v>1</v>
      </c>
      <c r="S1223" s="150">
        <f t="shared" si="612"/>
        <v>7</v>
      </c>
      <c r="T1223" s="152" t="s">
        <v>48</v>
      </c>
    </row>
    <row r="1224" spans="3:20" ht="20.25" customHeight="1">
      <c r="C1224" s="96"/>
      <c r="D1224" s="102">
        <f t="shared" si="564"/>
        <v>1224</v>
      </c>
      <c r="E1224" s="106" t="s">
        <v>604</v>
      </c>
      <c r="F1224" s="108">
        <f t="shared" si="610"/>
        <v>1223</v>
      </c>
      <c r="G1224" s="105" t="s">
        <v>63</v>
      </c>
      <c r="H1224" s="105"/>
      <c r="I1224" s="104">
        <v>16</v>
      </c>
      <c r="J1224" s="104" t="str">
        <f>J1223</f>
        <v>3000 mm</v>
      </c>
      <c r="K1224" s="118">
        <v>1</v>
      </c>
      <c r="L1224" s="118" t="s">
        <v>81</v>
      </c>
      <c r="M1224" s="119">
        <v>1</v>
      </c>
      <c r="N1224" s="104" t="s">
        <v>39</v>
      </c>
      <c r="O1224" s="120">
        <v>1</v>
      </c>
      <c r="P1224" s="104" t="s">
        <v>112</v>
      </c>
      <c r="Q1224" s="150">
        <f t="shared" si="611"/>
        <v>1</v>
      </c>
      <c r="R1224" s="148">
        <v>1</v>
      </c>
      <c r="S1224" s="150">
        <f t="shared" si="612"/>
        <v>2</v>
      </c>
      <c r="T1224" s="152" t="s">
        <v>48</v>
      </c>
    </row>
    <row r="1225" spans="3:20" ht="20.25" customHeight="1">
      <c r="C1225" s="96">
        <f>D1225</f>
        <v>1225</v>
      </c>
      <c r="D1225" s="102">
        <f t="shared" si="564"/>
        <v>1225</v>
      </c>
      <c r="E1225" s="103" t="s">
        <v>605</v>
      </c>
      <c r="F1225" s="108">
        <f>D1219</f>
        <v>1219</v>
      </c>
      <c r="G1225" s="105"/>
      <c r="H1225" s="105"/>
      <c r="I1225" s="104"/>
      <c r="J1225" s="104"/>
      <c r="K1225" s="118"/>
      <c r="L1225" s="118"/>
      <c r="M1225" s="119"/>
      <c r="N1225" s="104"/>
      <c r="O1225" s="120"/>
      <c r="P1225" s="104"/>
      <c r="Q1225" s="150"/>
      <c r="R1225" s="148"/>
      <c r="S1225" s="150"/>
      <c r="T1225" s="152"/>
    </row>
    <row r="1226" spans="3:20" ht="20.25" customHeight="1">
      <c r="C1226" s="96"/>
      <c r="D1226" s="102">
        <f t="shared" si="564"/>
        <v>1226</v>
      </c>
      <c r="E1226" s="106" t="s">
        <v>606</v>
      </c>
      <c r="F1226" s="108">
        <f t="shared" ref="F1226:F1230" si="613">D1225</f>
        <v>1225</v>
      </c>
      <c r="G1226" s="105" t="s">
        <v>55</v>
      </c>
      <c r="H1226" s="105"/>
      <c r="I1226" s="104"/>
      <c r="J1226" s="104" t="str">
        <f>J1221</f>
        <v>1550 mm id</v>
      </c>
      <c r="K1226" s="118">
        <v>1</v>
      </c>
      <c r="L1226" s="118" t="s">
        <v>81</v>
      </c>
      <c r="M1226" s="119">
        <v>1</v>
      </c>
      <c r="N1226" s="104" t="s">
        <v>39</v>
      </c>
      <c r="O1226" s="120">
        <v>3</v>
      </c>
      <c r="P1226" s="104" t="s">
        <v>41</v>
      </c>
      <c r="Q1226" s="150">
        <f t="shared" ref="Q1226:Q1230" si="614">M1226*O1226</f>
        <v>3</v>
      </c>
      <c r="R1226" s="148">
        <v>0</v>
      </c>
      <c r="S1226" s="150">
        <f t="shared" ref="S1226:S1230" si="615">Q1226+R1226</f>
        <v>3</v>
      </c>
      <c r="T1226" s="152" t="s">
        <v>48</v>
      </c>
    </row>
    <row r="1227" spans="3:20" ht="20.25" customHeight="1">
      <c r="C1227" s="96"/>
      <c r="D1227" s="102">
        <f t="shared" si="564"/>
        <v>1227</v>
      </c>
      <c r="E1227" s="106" t="s">
        <v>607</v>
      </c>
      <c r="F1227" s="108">
        <f t="shared" si="613"/>
        <v>1226</v>
      </c>
      <c r="G1227" s="105" t="s">
        <v>55</v>
      </c>
      <c r="H1227" s="105"/>
      <c r="I1227" s="104"/>
      <c r="J1227" s="104" t="str">
        <f>J1226</f>
        <v>1550 mm id</v>
      </c>
      <c r="K1227" s="118">
        <v>1</v>
      </c>
      <c r="L1227" s="118" t="s">
        <v>81</v>
      </c>
      <c r="M1227" s="119">
        <v>1</v>
      </c>
      <c r="N1227" s="104" t="s">
        <v>39</v>
      </c>
      <c r="O1227" s="120">
        <v>4</v>
      </c>
      <c r="P1227" s="104" t="s">
        <v>41</v>
      </c>
      <c r="Q1227" s="150">
        <f t="shared" si="614"/>
        <v>4</v>
      </c>
      <c r="R1227" s="148">
        <v>0</v>
      </c>
      <c r="S1227" s="150">
        <f t="shared" si="615"/>
        <v>4</v>
      </c>
      <c r="T1227" s="152" t="s">
        <v>48</v>
      </c>
    </row>
    <row r="1228" spans="3:20" ht="20.25" customHeight="1">
      <c r="C1228" s="96"/>
      <c r="D1228" s="102">
        <f t="shared" si="564"/>
        <v>1228</v>
      </c>
      <c r="E1228" s="106" t="s">
        <v>608</v>
      </c>
      <c r="F1228" s="108">
        <f t="shared" si="613"/>
        <v>1227</v>
      </c>
      <c r="G1228" s="105" t="s">
        <v>44</v>
      </c>
      <c r="H1228" s="105"/>
      <c r="I1228" s="104"/>
      <c r="J1228" s="104" t="str">
        <f>J1227</f>
        <v>1550 mm id</v>
      </c>
      <c r="K1228" s="118">
        <v>1</v>
      </c>
      <c r="L1228" s="118" t="s">
        <v>81</v>
      </c>
      <c r="M1228" s="119">
        <v>1</v>
      </c>
      <c r="N1228" s="104" t="s">
        <v>39</v>
      </c>
      <c r="O1228" s="120">
        <v>0.5</v>
      </c>
      <c r="P1228" s="104" t="s">
        <v>41</v>
      </c>
      <c r="Q1228" s="150">
        <f t="shared" si="614"/>
        <v>0.5</v>
      </c>
      <c r="R1228" s="148">
        <v>0</v>
      </c>
      <c r="S1228" s="150">
        <f t="shared" si="615"/>
        <v>0.5</v>
      </c>
      <c r="T1228" s="152" t="s">
        <v>48</v>
      </c>
    </row>
    <row r="1229" spans="3:20" ht="20.25" customHeight="1">
      <c r="C1229" s="96"/>
      <c r="D1229" s="102">
        <f t="shared" si="564"/>
        <v>1229</v>
      </c>
      <c r="E1229" s="106" t="s">
        <v>609</v>
      </c>
      <c r="F1229" s="108">
        <f t="shared" si="613"/>
        <v>1228</v>
      </c>
      <c r="G1229" s="105" t="s">
        <v>55</v>
      </c>
      <c r="H1229" s="105"/>
      <c r="I1229" s="104" t="s">
        <v>610</v>
      </c>
      <c r="J1229" s="104" t="str">
        <f>J1228</f>
        <v>1550 mm id</v>
      </c>
      <c r="K1229" s="118">
        <v>72</v>
      </c>
      <c r="L1229" s="118" t="s">
        <v>611</v>
      </c>
      <c r="M1229" s="119">
        <v>1</v>
      </c>
      <c r="N1229" s="104" t="s">
        <v>39</v>
      </c>
      <c r="O1229" s="120">
        <v>4</v>
      </c>
      <c r="P1229" s="104" t="s">
        <v>41</v>
      </c>
      <c r="Q1229" s="150">
        <f t="shared" si="614"/>
        <v>4</v>
      </c>
      <c r="R1229" s="148">
        <v>0</v>
      </c>
      <c r="S1229" s="150">
        <f t="shared" si="615"/>
        <v>4</v>
      </c>
      <c r="T1229" s="152" t="s">
        <v>48</v>
      </c>
    </row>
    <row r="1230" spans="3:20" ht="20.25" customHeight="1">
      <c r="C1230" s="96"/>
      <c r="D1230" s="102">
        <f t="shared" si="564"/>
        <v>1230</v>
      </c>
      <c r="E1230" s="106" t="s">
        <v>612</v>
      </c>
      <c r="F1230" s="108">
        <f t="shared" si="613"/>
        <v>1229</v>
      </c>
      <c r="G1230" s="105" t="s">
        <v>44</v>
      </c>
      <c r="H1230" s="105"/>
      <c r="I1230" s="104" t="s">
        <v>610</v>
      </c>
      <c r="J1230" s="104" t="str">
        <f>J1229</f>
        <v>1550 mm id</v>
      </c>
      <c r="K1230" s="118">
        <v>1</v>
      </c>
      <c r="L1230" s="141" t="s">
        <v>39</v>
      </c>
      <c r="M1230" s="119">
        <v>1</v>
      </c>
      <c r="N1230" s="104" t="s">
        <v>39</v>
      </c>
      <c r="O1230" s="120">
        <v>1</v>
      </c>
      <c r="P1230" s="104" t="s">
        <v>41</v>
      </c>
      <c r="Q1230" s="150">
        <f t="shared" si="614"/>
        <v>1</v>
      </c>
      <c r="R1230" s="148">
        <v>0</v>
      </c>
      <c r="S1230" s="150">
        <f t="shared" si="615"/>
        <v>1</v>
      </c>
      <c r="T1230" s="152" t="s">
        <v>48</v>
      </c>
    </row>
    <row r="1231" spans="3:20" ht="20.25" customHeight="1">
      <c r="C1231" s="96">
        <f t="shared" ref="C1231:C1232" si="616">D1231</f>
        <v>1231</v>
      </c>
      <c r="D1231" s="102">
        <f t="shared" si="564"/>
        <v>1231</v>
      </c>
      <c r="E1231" s="163" t="s">
        <v>613</v>
      </c>
      <c r="F1231" s="112"/>
      <c r="G1231" s="105"/>
      <c r="H1231" s="105"/>
      <c r="I1231" s="104"/>
      <c r="J1231" s="104"/>
      <c r="K1231" s="118"/>
      <c r="L1231" s="118"/>
      <c r="M1231" s="119"/>
      <c r="N1231" s="104"/>
      <c r="O1231" s="120"/>
      <c r="P1231" s="104"/>
      <c r="Q1231" s="150"/>
      <c r="R1231" s="148"/>
      <c r="S1231" s="150"/>
      <c r="T1231" s="152"/>
    </row>
    <row r="1232" spans="3:20" ht="20.25" customHeight="1">
      <c r="C1232" s="96">
        <f t="shared" si="616"/>
        <v>1232</v>
      </c>
      <c r="D1232" s="102">
        <f t="shared" si="564"/>
        <v>1232</v>
      </c>
      <c r="E1232" s="103" t="s">
        <v>614</v>
      </c>
      <c r="F1232" s="108"/>
      <c r="G1232" s="105"/>
      <c r="H1232" s="105"/>
      <c r="I1232" s="104"/>
      <c r="J1232" s="104"/>
      <c r="K1232" s="118"/>
      <c r="L1232" s="118"/>
      <c r="M1232" s="119"/>
      <c r="N1232" s="104"/>
      <c r="O1232" s="120"/>
      <c r="P1232" s="104"/>
      <c r="Q1232" s="150"/>
      <c r="R1232" s="148"/>
      <c r="S1232" s="150"/>
      <c r="T1232" s="152"/>
    </row>
    <row r="1233" spans="3:20" ht="20.25" customHeight="1">
      <c r="C1233" s="96"/>
      <c r="D1233" s="102">
        <f t="shared" si="564"/>
        <v>1233</v>
      </c>
      <c r="E1233" s="106" t="s">
        <v>615</v>
      </c>
      <c r="F1233" s="108">
        <f t="shared" ref="F1233:F1234" si="617">D1232</f>
        <v>1232</v>
      </c>
      <c r="G1233" s="105" t="s">
        <v>616</v>
      </c>
      <c r="H1233" s="105"/>
      <c r="I1233" s="104" t="s">
        <v>617</v>
      </c>
      <c r="J1233" s="132" t="s">
        <v>618</v>
      </c>
      <c r="K1233" s="118"/>
      <c r="L1233" s="118"/>
      <c r="M1233" s="119">
        <v>1</v>
      </c>
      <c r="N1233" s="104"/>
      <c r="O1233" s="120">
        <v>1.5</v>
      </c>
      <c r="P1233" s="104" t="s">
        <v>41</v>
      </c>
      <c r="Q1233" s="150">
        <f t="shared" ref="Q1233:Q1234" si="618">M1233*O1233</f>
        <v>1.5</v>
      </c>
      <c r="R1233" s="148">
        <v>0</v>
      </c>
      <c r="S1233" s="150">
        <f t="shared" ref="S1233:S1234" si="619">Q1233+R1233</f>
        <v>1.5</v>
      </c>
      <c r="T1233" s="152" t="s">
        <v>48</v>
      </c>
    </row>
    <row r="1234" spans="3:20" ht="20.25" customHeight="1">
      <c r="C1234" s="96"/>
      <c r="D1234" s="102">
        <f t="shared" si="564"/>
        <v>1234</v>
      </c>
      <c r="E1234" s="106" t="s">
        <v>619</v>
      </c>
      <c r="F1234" s="108">
        <f t="shared" si="617"/>
        <v>1233</v>
      </c>
      <c r="G1234" s="105" t="s">
        <v>620</v>
      </c>
      <c r="H1234" s="105"/>
      <c r="I1234" s="104"/>
      <c r="J1234" s="132" t="s">
        <v>621</v>
      </c>
      <c r="K1234" s="118">
        <v>1</v>
      </c>
      <c r="L1234" s="118" t="s">
        <v>81</v>
      </c>
      <c r="M1234" s="119">
        <v>19</v>
      </c>
      <c r="N1234" s="104" t="s">
        <v>81</v>
      </c>
      <c r="O1234" s="120">
        <v>0.5</v>
      </c>
      <c r="P1234" s="104" t="s">
        <v>112</v>
      </c>
      <c r="Q1234" s="150">
        <f t="shared" si="618"/>
        <v>9.5</v>
      </c>
      <c r="R1234" s="148">
        <v>1</v>
      </c>
      <c r="S1234" s="150">
        <f t="shared" si="619"/>
        <v>10.5</v>
      </c>
      <c r="T1234" s="152" t="s">
        <v>48</v>
      </c>
    </row>
    <row r="1235" spans="3:20" ht="20.25" customHeight="1">
      <c r="C1235" s="96">
        <f>D1235</f>
        <v>1235</v>
      </c>
      <c r="D1235" s="102">
        <f t="shared" ref="D1235:D1271" si="620">D1234+1</f>
        <v>1235</v>
      </c>
      <c r="E1235" s="103" t="s">
        <v>622</v>
      </c>
      <c r="F1235" s="108">
        <f>D1232</f>
        <v>1232</v>
      </c>
      <c r="G1235" s="105"/>
      <c r="H1235" s="105"/>
      <c r="I1235" s="104"/>
      <c r="J1235" s="104"/>
      <c r="K1235" s="118"/>
      <c r="L1235" s="118"/>
      <c r="M1235" s="119"/>
      <c r="N1235" s="104"/>
      <c r="O1235" s="120"/>
      <c r="P1235" s="104"/>
      <c r="Q1235" s="150"/>
      <c r="R1235" s="148"/>
      <c r="S1235" s="150"/>
      <c r="T1235" s="152"/>
    </row>
    <row r="1236" spans="3:20" ht="20.25" customHeight="1">
      <c r="C1236" s="96"/>
      <c r="D1236" s="102">
        <f t="shared" si="620"/>
        <v>1236</v>
      </c>
      <c r="E1236" s="106" t="s">
        <v>622</v>
      </c>
      <c r="F1236" s="108">
        <f t="shared" ref="F1236:F1238" si="621">D1235</f>
        <v>1235</v>
      </c>
      <c r="G1236" s="105" t="s">
        <v>623</v>
      </c>
      <c r="H1236" s="105"/>
      <c r="I1236" s="132" t="s">
        <v>266</v>
      </c>
      <c r="J1236" s="132" t="s">
        <v>624</v>
      </c>
      <c r="K1236" s="118">
        <v>654</v>
      </c>
      <c r="L1236" s="118" t="s">
        <v>81</v>
      </c>
      <c r="M1236" s="142">
        <f>K1236</f>
        <v>654</v>
      </c>
      <c r="N1236" s="104" t="s">
        <v>81</v>
      </c>
      <c r="O1236" s="162">
        <f>1/60*5</f>
        <v>8.3333333333333329E-2</v>
      </c>
      <c r="P1236" s="104" t="s">
        <v>87</v>
      </c>
      <c r="Q1236" s="150">
        <f t="shared" ref="Q1236:Q1238" si="622">M1236*O1236</f>
        <v>54.5</v>
      </c>
      <c r="R1236" s="148">
        <v>1</v>
      </c>
      <c r="S1236" s="150">
        <f t="shared" ref="S1236:S1238" si="623">Q1236+R1236</f>
        <v>55.5</v>
      </c>
      <c r="T1236" s="152" t="s">
        <v>48</v>
      </c>
    </row>
    <row r="1237" spans="3:20" ht="20.25" customHeight="1">
      <c r="C1237" s="96"/>
      <c r="D1237" s="102">
        <f t="shared" si="620"/>
        <v>1237</v>
      </c>
      <c r="E1237" s="106" t="s">
        <v>625</v>
      </c>
      <c r="F1237" s="108">
        <f t="shared" si="621"/>
        <v>1236</v>
      </c>
      <c r="G1237" s="105" t="s">
        <v>626</v>
      </c>
      <c r="H1237" s="105"/>
      <c r="I1237" s="132" t="s">
        <v>266</v>
      </c>
      <c r="J1237" s="132" t="s">
        <v>627</v>
      </c>
      <c r="K1237" s="118">
        <v>14</v>
      </c>
      <c r="L1237" s="118" t="s">
        <v>81</v>
      </c>
      <c r="M1237" s="142">
        <f>K1237</f>
        <v>14</v>
      </c>
      <c r="N1237" s="104" t="s">
        <v>81</v>
      </c>
      <c r="O1237" s="162">
        <v>0.5</v>
      </c>
      <c r="P1237" s="104" t="s">
        <v>87</v>
      </c>
      <c r="Q1237" s="150">
        <f t="shared" si="622"/>
        <v>7</v>
      </c>
      <c r="R1237" s="148">
        <v>1</v>
      </c>
      <c r="S1237" s="150">
        <f t="shared" si="623"/>
        <v>8</v>
      </c>
      <c r="T1237" s="152" t="s">
        <v>48</v>
      </c>
    </row>
    <row r="1238" spans="3:20" ht="20.25" customHeight="1">
      <c r="C1238" s="96"/>
      <c r="D1238" s="102">
        <f t="shared" si="620"/>
        <v>1238</v>
      </c>
      <c r="E1238" s="106" t="s">
        <v>622</v>
      </c>
      <c r="F1238" s="108">
        <f t="shared" si="621"/>
        <v>1237</v>
      </c>
      <c r="G1238" s="105" t="s">
        <v>623</v>
      </c>
      <c r="H1238" s="105"/>
      <c r="I1238" s="132" t="s">
        <v>266</v>
      </c>
      <c r="J1238" s="104" t="str">
        <f>J1236</f>
        <v>7000 lg</v>
      </c>
      <c r="K1238" s="118">
        <v>654</v>
      </c>
      <c r="L1238" s="118" t="s">
        <v>81</v>
      </c>
      <c r="M1238" s="142">
        <f>K1238</f>
        <v>654</v>
      </c>
      <c r="N1238" s="104" t="s">
        <v>81</v>
      </c>
      <c r="O1238" s="162">
        <f>1/60*5</f>
        <v>8.3333333333333329E-2</v>
      </c>
      <c r="P1238" s="104" t="s">
        <v>87</v>
      </c>
      <c r="Q1238" s="150">
        <f t="shared" si="622"/>
        <v>54.5</v>
      </c>
      <c r="R1238" s="148">
        <v>1</v>
      </c>
      <c r="S1238" s="150">
        <f t="shared" si="623"/>
        <v>55.5</v>
      </c>
      <c r="T1238" s="152" t="s">
        <v>48</v>
      </c>
    </row>
    <row r="1239" spans="3:20" ht="20.25" customHeight="1">
      <c r="C1239" s="96">
        <f>D1239</f>
        <v>1239</v>
      </c>
      <c r="D1239" s="102">
        <f t="shared" si="620"/>
        <v>1239</v>
      </c>
      <c r="E1239" s="103" t="s">
        <v>628</v>
      </c>
      <c r="F1239" s="108">
        <f>D1235</f>
        <v>1235</v>
      </c>
      <c r="G1239" s="105"/>
      <c r="H1239" s="105"/>
      <c r="I1239" s="104"/>
      <c r="J1239" s="104"/>
      <c r="K1239" s="118"/>
      <c r="L1239" s="118"/>
      <c r="M1239" s="119"/>
      <c r="N1239" s="104"/>
      <c r="O1239" s="120"/>
      <c r="P1239" s="104"/>
      <c r="Q1239" s="150"/>
      <c r="R1239" s="148"/>
      <c r="S1239" s="150"/>
      <c r="T1239" s="152"/>
    </row>
    <row r="1240" spans="3:20" ht="20.25" customHeight="1">
      <c r="C1240" s="96"/>
      <c r="D1240" s="102">
        <f t="shared" si="620"/>
        <v>1240</v>
      </c>
      <c r="E1240" s="106" t="s">
        <v>629</v>
      </c>
      <c r="F1240" s="108">
        <f t="shared" ref="F1240:F1242" si="624">D1239</f>
        <v>1239</v>
      </c>
      <c r="G1240" s="105" t="s">
        <v>44</v>
      </c>
      <c r="H1240" s="105"/>
      <c r="I1240" s="104">
        <v>8</v>
      </c>
      <c r="J1240" s="132" t="s">
        <v>630</v>
      </c>
      <c r="K1240" s="118">
        <v>2</v>
      </c>
      <c r="L1240" s="118" t="s">
        <v>81</v>
      </c>
      <c r="M1240" s="119">
        <v>2</v>
      </c>
      <c r="N1240" s="104" t="s">
        <v>81</v>
      </c>
      <c r="O1240" s="162">
        <v>3</v>
      </c>
      <c r="P1240" s="104" t="s">
        <v>87</v>
      </c>
      <c r="Q1240" s="150">
        <f t="shared" ref="Q1240:Q1242" si="625">M1240*O1240</f>
        <v>6</v>
      </c>
      <c r="R1240" s="148">
        <v>1</v>
      </c>
      <c r="S1240" s="150">
        <f t="shared" ref="S1240:S1242" si="626">Q1240+R1240</f>
        <v>7</v>
      </c>
      <c r="T1240" s="152" t="s">
        <v>48</v>
      </c>
    </row>
    <row r="1241" spans="3:20" ht="20.25" customHeight="1">
      <c r="C1241" s="96"/>
      <c r="D1241" s="102">
        <f t="shared" si="620"/>
        <v>1241</v>
      </c>
      <c r="E1241" s="106" t="s">
        <v>631</v>
      </c>
      <c r="F1241" s="108">
        <f t="shared" si="624"/>
        <v>1240</v>
      </c>
      <c r="G1241" s="105" t="s">
        <v>115</v>
      </c>
      <c r="H1241" s="105"/>
      <c r="I1241" s="104">
        <v>8</v>
      </c>
      <c r="J1241" s="132" t="s">
        <v>632</v>
      </c>
      <c r="K1241" s="118">
        <v>1</v>
      </c>
      <c r="L1241" s="141" t="s">
        <v>84</v>
      </c>
      <c r="M1241" s="128" t="str">
        <f>LEFT(J1241,SEARCH(" ",J1241,1)-1)</f>
        <v>60</v>
      </c>
      <c r="N1241" s="132" t="s">
        <v>633</v>
      </c>
      <c r="O1241" s="162">
        <v>0.25</v>
      </c>
      <c r="P1241" s="104" t="s">
        <v>87</v>
      </c>
      <c r="Q1241" s="150">
        <f t="shared" si="625"/>
        <v>15</v>
      </c>
      <c r="R1241" s="148">
        <v>1</v>
      </c>
      <c r="S1241" s="150">
        <f t="shared" si="626"/>
        <v>16</v>
      </c>
      <c r="T1241" s="152" t="s">
        <v>48</v>
      </c>
    </row>
    <row r="1242" spans="3:20" ht="20.25" customHeight="1">
      <c r="C1242" s="96"/>
      <c r="D1242" s="102">
        <f t="shared" si="620"/>
        <v>1242</v>
      </c>
      <c r="E1242" s="109" t="s">
        <v>776</v>
      </c>
      <c r="F1242" s="108">
        <f t="shared" si="624"/>
        <v>1241</v>
      </c>
      <c r="G1242" s="105" t="s">
        <v>61</v>
      </c>
      <c r="H1242" s="105"/>
      <c r="I1242" s="104">
        <v>1500</v>
      </c>
      <c r="J1242" s="104" t="str">
        <f>J1241</f>
        <v>60 joints</v>
      </c>
      <c r="K1242" s="118">
        <v>1</v>
      </c>
      <c r="L1242" s="141" t="s">
        <v>84</v>
      </c>
      <c r="M1242" s="128" t="str">
        <f>LEFT(J1242,SEARCH(" ",J1242,1)-1)</f>
        <v>60</v>
      </c>
      <c r="N1242" s="132" t="s">
        <v>633</v>
      </c>
      <c r="O1242" s="162">
        <f>VLOOKUP(I1242,BM!$B$3:$Y$62,9,FALSE)</f>
        <v>0.25</v>
      </c>
      <c r="P1242" s="104" t="s">
        <v>87</v>
      </c>
      <c r="Q1242" s="150">
        <f t="shared" si="625"/>
        <v>15</v>
      </c>
      <c r="R1242" s="148">
        <v>1</v>
      </c>
      <c r="S1242" s="150">
        <f t="shared" si="626"/>
        <v>16</v>
      </c>
      <c r="T1242" s="152" t="s">
        <v>48</v>
      </c>
    </row>
    <row r="1243" spans="3:20" ht="20.25" customHeight="1">
      <c r="C1243" s="96">
        <f>D1243</f>
        <v>1243</v>
      </c>
      <c r="D1243" s="102">
        <f t="shared" si="620"/>
        <v>1243</v>
      </c>
      <c r="E1243" s="103" t="s">
        <v>635</v>
      </c>
      <c r="F1243" s="108">
        <f>D1239</f>
        <v>1239</v>
      </c>
      <c r="G1243" s="105"/>
      <c r="H1243" s="105"/>
      <c r="I1243" s="104"/>
      <c r="J1243" s="104"/>
      <c r="K1243" s="118"/>
      <c r="L1243" s="118"/>
      <c r="M1243" s="119"/>
      <c r="N1243" s="104"/>
      <c r="O1243" s="120"/>
      <c r="P1243" s="104"/>
      <c r="Q1243" s="150"/>
      <c r="R1243" s="148"/>
      <c r="S1243" s="150"/>
      <c r="T1243" s="152"/>
    </row>
    <row r="1244" spans="3:20" ht="20.25" customHeight="1">
      <c r="C1244" s="96"/>
      <c r="D1244" s="102">
        <f t="shared" si="620"/>
        <v>1244</v>
      </c>
      <c r="E1244" s="106" t="s">
        <v>636</v>
      </c>
      <c r="F1244" s="108">
        <f t="shared" ref="F1244:F1246" si="627">D1243</f>
        <v>1243</v>
      </c>
      <c r="G1244" s="105" t="s">
        <v>637</v>
      </c>
      <c r="H1244" s="105"/>
      <c r="I1244" s="104"/>
      <c r="J1244" s="104" t="s">
        <v>638</v>
      </c>
      <c r="K1244" s="118">
        <v>1</v>
      </c>
      <c r="L1244" s="118" t="s">
        <v>81</v>
      </c>
      <c r="M1244" s="119">
        <v>1</v>
      </c>
      <c r="N1244" s="104" t="s">
        <v>81</v>
      </c>
      <c r="O1244" s="120">
        <v>16</v>
      </c>
      <c r="P1244" s="104" t="s">
        <v>87</v>
      </c>
      <c r="Q1244" s="150">
        <f t="shared" ref="Q1244:Q1246" si="628">M1244*O1244</f>
        <v>16</v>
      </c>
      <c r="R1244" s="148">
        <v>1</v>
      </c>
      <c r="S1244" s="150">
        <f t="shared" ref="S1244:S1246" si="629">Q1244+R1244</f>
        <v>17</v>
      </c>
      <c r="T1244" s="152" t="s">
        <v>48</v>
      </c>
    </row>
    <row r="1245" spans="3:20" ht="20.25" customHeight="1">
      <c r="C1245" s="96"/>
      <c r="D1245" s="102">
        <f t="shared" si="620"/>
        <v>1245</v>
      </c>
      <c r="E1245" s="106" t="s">
        <v>639</v>
      </c>
      <c r="F1245" s="108">
        <f t="shared" si="627"/>
        <v>1244</v>
      </c>
      <c r="G1245" s="105" t="s">
        <v>640</v>
      </c>
      <c r="H1245" s="105"/>
      <c r="I1245" s="104" t="s">
        <v>641</v>
      </c>
      <c r="J1245" s="104"/>
      <c r="K1245" s="118">
        <v>1</v>
      </c>
      <c r="L1245" s="118" t="s">
        <v>81</v>
      </c>
      <c r="M1245" s="119">
        <v>1</v>
      </c>
      <c r="N1245" s="104" t="s">
        <v>81</v>
      </c>
      <c r="O1245" s="120">
        <v>4</v>
      </c>
      <c r="P1245" s="104" t="s">
        <v>87</v>
      </c>
      <c r="Q1245" s="150">
        <f t="shared" si="628"/>
        <v>4</v>
      </c>
      <c r="R1245" s="148">
        <v>1</v>
      </c>
      <c r="S1245" s="150">
        <f t="shared" si="629"/>
        <v>5</v>
      </c>
      <c r="T1245" s="152" t="s">
        <v>48</v>
      </c>
    </row>
    <row r="1246" spans="3:20" ht="20.25" customHeight="1">
      <c r="C1246" s="96"/>
      <c r="D1246" s="102">
        <f t="shared" si="620"/>
        <v>1246</v>
      </c>
      <c r="E1246" s="106" t="s">
        <v>642</v>
      </c>
      <c r="F1246" s="108">
        <f t="shared" si="627"/>
        <v>1245</v>
      </c>
      <c r="G1246" s="105" t="s">
        <v>643</v>
      </c>
      <c r="H1246" s="105"/>
      <c r="I1246" s="104" t="s">
        <v>644</v>
      </c>
      <c r="J1246" s="104">
        <v>1490</v>
      </c>
      <c r="K1246" s="118">
        <v>1</v>
      </c>
      <c r="L1246" s="118" t="s">
        <v>81</v>
      </c>
      <c r="M1246" s="119">
        <v>56</v>
      </c>
      <c r="N1246" s="104" t="s">
        <v>645</v>
      </c>
      <c r="O1246" s="162">
        <f>1/60*10</f>
        <v>0.16666666666666666</v>
      </c>
      <c r="P1246" s="104" t="s">
        <v>112</v>
      </c>
      <c r="Q1246" s="150">
        <f t="shared" si="628"/>
        <v>9.3333333333333321</v>
      </c>
      <c r="R1246" s="148">
        <v>1</v>
      </c>
      <c r="S1246" s="150">
        <f t="shared" si="629"/>
        <v>10.333333333333332</v>
      </c>
      <c r="T1246" s="152" t="s">
        <v>48</v>
      </c>
    </row>
    <row r="1247" spans="3:20" ht="20.25" customHeight="1">
      <c r="C1247" s="96">
        <f>D1247</f>
        <v>1247</v>
      </c>
      <c r="D1247" s="102">
        <f t="shared" si="620"/>
        <v>1247</v>
      </c>
      <c r="E1247" s="103" t="s">
        <v>646</v>
      </c>
      <c r="F1247" s="108">
        <f>D1243</f>
        <v>1243</v>
      </c>
      <c r="G1247" s="105"/>
      <c r="H1247" s="105"/>
      <c r="I1247" s="104"/>
      <c r="J1247" s="104"/>
      <c r="K1247" s="118"/>
      <c r="L1247" s="118"/>
      <c r="M1247" s="119"/>
      <c r="N1247" s="104"/>
      <c r="O1247" s="120"/>
      <c r="P1247" s="104"/>
      <c r="Q1247" s="150"/>
      <c r="R1247" s="148"/>
      <c r="S1247" s="150"/>
      <c r="T1247" s="152"/>
    </row>
    <row r="1248" spans="3:20" ht="20.25" customHeight="1">
      <c r="C1248" s="96"/>
      <c r="D1248" s="102">
        <f t="shared" si="620"/>
        <v>1248</v>
      </c>
      <c r="E1248" s="106" t="s">
        <v>647</v>
      </c>
      <c r="F1248" s="108">
        <f t="shared" ref="F1248:F1251" si="630">D1247</f>
        <v>1247</v>
      </c>
      <c r="G1248" s="105" t="s">
        <v>201</v>
      </c>
      <c r="H1248" s="105"/>
      <c r="I1248" s="104" t="s">
        <v>648</v>
      </c>
      <c r="J1248" s="132" t="s">
        <v>649</v>
      </c>
      <c r="K1248" s="118">
        <v>1308</v>
      </c>
      <c r="L1248" s="118" t="s">
        <v>81</v>
      </c>
      <c r="M1248" s="128" t="str">
        <f>LEFT(J1248,SEARCH(" ",J1248,1)-1)</f>
        <v>1308</v>
      </c>
      <c r="N1248" s="104" t="s">
        <v>650</v>
      </c>
      <c r="O1248" s="162">
        <f>1/60*1</f>
        <v>1.6666666666666666E-2</v>
      </c>
      <c r="P1248" s="104" t="s">
        <v>112</v>
      </c>
      <c r="Q1248" s="150">
        <f t="shared" ref="Q1248:Q1251" si="631">M1248*O1248</f>
        <v>21.8</v>
      </c>
      <c r="R1248" s="148">
        <v>1</v>
      </c>
      <c r="S1248" s="150">
        <f t="shared" ref="S1248:S1251" si="632">Q1248+R1248</f>
        <v>22.8</v>
      </c>
      <c r="T1248" s="152" t="s">
        <v>48</v>
      </c>
    </row>
    <row r="1249" spans="3:20" ht="20.25" customHeight="1">
      <c r="C1249" s="96"/>
      <c r="D1249" s="102">
        <f t="shared" si="620"/>
        <v>1249</v>
      </c>
      <c r="E1249" s="106" t="s">
        <v>651</v>
      </c>
      <c r="F1249" s="108">
        <f t="shared" si="630"/>
        <v>1248</v>
      </c>
      <c r="G1249" s="105" t="s">
        <v>201</v>
      </c>
      <c r="H1249" s="105"/>
      <c r="I1249" s="132" t="s">
        <v>652</v>
      </c>
      <c r="J1249" s="132" t="s">
        <v>649</v>
      </c>
      <c r="K1249" s="118">
        <v>1308</v>
      </c>
      <c r="L1249" s="118" t="s">
        <v>81</v>
      </c>
      <c r="M1249" s="128" t="str">
        <f>LEFT(J1249,SEARCH(" ",J1249,1)-1)</f>
        <v>1308</v>
      </c>
      <c r="N1249" s="104" t="s">
        <v>650</v>
      </c>
      <c r="O1249" s="162">
        <f>1/60*0.5</f>
        <v>8.3333333333333332E-3</v>
      </c>
      <c r="P1249" s="104" t="s">
        <v>112</v>
      </c>
      <c r="Q1249" s="150">
        <f t="shared" si="631"/>
        <v>10.9</v>
      </c>
      <c r="R1249" s="148">
        <v>1</v>
      </c>
      <c r="S1249" s="150">
        <f t="shared" si="632"/>
        <v>11.9</v>
      </c>
      <c r="T1249" s="152" t="s">
        <v>48</v>
      </c>
    </row>
    <row r="1250" spans="3:20" ht="20.25" customHeight="1">
      <c r="C1250" s="96"/>
      <c r="D1250" s="102">
        <f t="shared" si="620"/>
        <v>1250</v>
      </c>
      <c r="E1250" s="106" t="s">
        <v>653</v>
      </c>
      <c r="F1250" s="108">
        <f t="shared" si="630"/>
        <v>1249</v>
      </c>
      <c r="G1250" s="105" t="s">
        <v>44</v>
      </c>
      <c r="H1250" s="105"/>
      <c r="I1250" s="132" t="s">
        <v>652</v>
      </c>
      <c r="J1250" s="132" t="s">
        <v>649</v>
      </c>
      <c r="K1250" s="118">
        <v>1308</v>
      </c>
      <c r="L1250" s="118" t="s">
        <v>81</v>
      </c>
      <c r="M1250" s="128" t="str">
        <f>LEFT(J1250,SEARCH(" ",J1250,1)-1)</f>
        <v>1308</v>
      </c>
      <c r="N1250" s="104" t="s">
        <v>654</v>
      </c>
      <c r="O1250" s="162">
        <f>1/60*2</f>
        <v>3.3333333333333333E-2</v>
      </c>
      <c r="P1250" s="104" t="s">
        <v>112</v>
      </c>
      <c r="Q1250" s="150">
        <f t="shared" si="631"/>
        <v>43.6</v>
      </c>
      <c r="R1250" s="148">
        <v>1</v>
      </c>
      <c r="S1250" s="150">
        <f t="shared" si="632"/>
        <v>44.6</v>
      </c>
      <c r="T1250" s="152" t="s">
        <v>48</v>
      </c>
    </row>
    <row r="1251" spans="3:20" ht="20.25" customHeight="1">
      <c r="C1251" s="96"/>
      <c r="D1251" s="102">
        <f t="shared" si="620"/>
        <v>1251</v>
      </c>
      <c r="E1251" s="106" t="s">
        <v>655</v>
      </c>
      <c r="F1251" s="108">
        <f t="shared" si="630"/>
        <v>1250</v>
      </c>
      <c r="G1251" s="105" t="s">
        <v>656</v>
      </c>
      <c r="H1251" s="105"/>
      <c r="I1251" s="104" t="s">
        <v>657</v>
      </c>
      <c r="J1251" s="132" t="s">
        <v>658</v>
      </c>
      <c r="K1251" s="164">
        <v>2616</v>
      </c>
      <c r="L1251" s="118" t="s">
        <v>81</v>
      </c>
      <c r="M1251" s="128" t="str">
        <f>LEFT(J1251,SEARCH(" ",J1251,1)-1)</f>
        <v>2616</v>
      </c>
      <c r="N1251" s="104" t="s">
        <v>650</v>
      </c>
      <c r="O1251" s="162">
        <f>1/60*0.5</f>
        <v>8.3333333333333332E-3</v>
      </c>
      <c r="P1251" s="104" t="s">
        <v>112</v>
      </c>
      <c r="Q1251" s="150">
        <f t="shared" si="631"/>
        <v>21.8</v>
      </c>
      <c r="R1251" s="148">
        <v>1</v>
      </c>
      <c r="S1251" s="150">
        <f t="shared" si="632"/>
        <v>22.8</v>
      </c>
      <c r="T1251" s="152" t="s">
        <v>48</v>
      </c>
    </row>
    <row r="1252" spans="3:20" ht="20.25" customHeight="1">
      <c r="C1252" s="96">
        <f>D1252</f>
        <v>1252</v>
      </c>
      <c r="D1252" s="102">
        <f t="shared" si="620"/>
        <v>1252</v>
      </c>
      <c r="E1252" s="103" t="s">
        <v>659</v>
      </c>
      <c r="F1252" s="108">
        <f>D1247</f>
        <v>1247</v>
      </c>
      <c r="G1252" s="105"/>
      <c r="H1252" s="105"/>
      <c r="I1252" s="104"/>
      <c r="J1252" s="104"/>
      <c r="K1252" s="118"/>
      <c r="L1252" s="118"/>
      <c r="M1252" s="119"/>
      <c r="N1252" s="104"/>
      <c r="O1252" s="120"/>
      <c r="P1252" s="104"/>
      <c r="Q1252" s="150"/>
      <c r="R1252" s="148"/>
      <c r="S1252" s="150"/>
      <c r="T1252" s="152"/>
    </row>
    <row r="1253" spans="3:20" ht="20.25" customHeight="1">
      <c r="C1253" s="96"/>
      <c r="D1253" s="102">
        <f t="shared" si="620"/>
        <v>1253</v>
      </c>
      <c r="E1253" s="106" t="s">
        <v>660</v>
      </c>
      <c r="F1253" s="108">
        <f t="shared" ref="F1253:F1255" si="633">D1252</f>
        <v>1252</v>
      </c>
      <c r="G1253" s="105" t="s">
        <v>656</v>
      </c>
      <c r="H1253" s="105"/>
      <c r="I1253" s="104"/>
      <c r="J1253" s="104"/>
      <c r="K1253" s="118">
        <v>1</v>
      </c>
      <c r="L1253" s="118" t="s">
        <v>39</v>
      </c>
      <c r="M1253" s="119">
        <v>1</v>
      </c>
      <c r="N1253" s="104" t="s">
        <v>661</v>
      </c>
      <c r="O1253" s="120">
        <v>4</v>
      </c>
      <c r="P1253" s="104" t="s">
        <v>112</v>
      </c>
      <c r="Q1253" s="150">
        <f t="shared" ref="Q1253:Q1255" si="634">M1253*O1253</f>
        <v>4</v>
      </c>
      <c r="R1253" s="148">
        <v>1</v>
      </c>
      <c r="S1253" s="150">
        <f t="shared" ref="S1253:S1255" si="635">Q1253+R1253</f>
        <v>5</v>
      </c>
      <c r="T1253" s="152" t="s">
        <v>48</v>
      </c>
    </row>
    <row r="1254" spans="3:20" ht="20.25" customHeight="1">
      <c r="C1254" s="96"/>
      <c r="D1254" s="102">
        <f t="shared" si="620"/>
        <v>1254</v>
      </c>
      <c r="E1254" s="106" t="s">
        <v>662</v>
      </c>
      <c r="F1254" s="108">
        <f t="shared" si="633"/>
        <v>1253</v>
      </c>
      <c r="G1254" s="105" t="s">
        <v>44</v>
      </c>
      <c r="H1254" s="105"/>
      <c r="I1254" s="104"/>
      <c r="J1254" s="104"/>
      <c r="K1254" s="118">
        <v>1</v>
      </c>
      <c r="L1254" s="118" t="s">
        <v>39</v>
      </c>
      <c r="M1254" s="119">
        <v>1</v>
      </c>
      <c r="N1254" s="104" t="s">
        <v>661</v>
      </c>
      <c r="O1254" s="120">
        <v>1</v>
      </c>
      <c r="P1254" s="104" t="s">
        <v>41</v>
      </c>
      <c r="Q1254" s="150">
        <f t="shared" si="634"/>
        <v>1</v>
      </c>
      <c r="R1254" s="148"/>
      <c r="S1254" s="150">
        <f t="shared" si="635"/>
        <v>1</v>
      </c>
      <c r="T1254" s="152" t="s">
        <v>48</v>
      </c>
    </row>
    <row r="1255" spans="3:20" ht="20.25" customHeight="1">
      <c r="C1255" s="96"/>
      <c r="D1255" s="102">
        <f t="shared" si="620"/>
        <v>1255</v>
      </c>
      <c r="E1255" s="106" t="s">
        <v>663</v>
      </c>
      <c r="F1255" s="108">
        <f t="shared" si="633"/>
        <v>1254</v>
      </c>
      <c r="G1255" s="105" t="s">
        <v>224</v>
      </c>
      <c r="H1255" s="105"/>
      <c r="I1255" s="104"/>
      <c r="J1255" s="104"/>
      <c r="K1255" s="118">
        <v>1</v>
      </c>
      <c r="L1255" s="118" t="s">
        <v>39</v>
      </c>
      <c r="M1255" s="119">
        <v>1</v>
      </c>
      <c r="N1255" s="104" t="s">
        <v>39</v>
      </c>
      <c r="O1255" s="120">
        <v>1</v>
      </c>
      <c r="P1255" s="104" t="s">
        <v>162</v>
      </c>
      <c r="Q1255" s="150">
        <f t="shared" si="634"/>
        <v>1</v>
      </c>
      <c r="R1255" s="148"/>
      <c r="S1255" s="150">
        <f t="shared" si="635"/>
        <v>1</v>
      </c>
      <c r="T1255" s="152" t="s">
        <v>48</v>
      </c>
    </row>
    <row r="1256" spans="3:20" ht="20.25" customHeight="1">
      <c r="C1256" s="96">
        <f>D1256</f>
        <v>1256</v>
      </c>
      <c r="D1256" s="102">
        <f t="shared" si="620"/>
        <v>1256</v>
      </c>
      <c r="E1256" s="103" t="s">
        <v>704</v>
      </c>
      <c r="F1256" s="108">
        <f>D1252</f>
        <v>1252</v>
      </c>
      <c r="G1256" s="105"/>
      <c r="H1256" s="105"/>
      <c r="I1256" s="104"/>
      <c r="J1256" s="104"/>
      <c r="K1256" s="118"/>
      <c r="L1256" s="118"/>
      <c r="M1256" s="119"/>
      <c r="N1256" s="104"/>
      <c r="O1256" s="120"/>
      <c r="P1256" s="104"/>
      <c r="Q1256" s="150"/>
      <c r="R1256" s="148"/>
      <c r="S1256" s="150"/>
      <c r="T1256" s="152"/>
    </row>
    <row r="1257" spans="3:20" ht="20.25" customHeight="1">
      <c r="C1257" s="96"/>
      <c r="D1257" s="102">
        <f t="shared" si="620"/>
        <v>1257</v>
      </c>
      <c r="E1257" s="106" t="s">
        <v>705</v>
      </c>
      <c r="F1257" s="108">
        <f t="shared" ref="F1257:F1260" si="636">D1256</f>
        <v>1256</v>
      </c>
      <c r="G1257" s="105" t="s">
        <v>666</v>
      </c>
      <c r="H1257" s="105"/>
      <c r="I1257" s="104">
        <v>2.77</v>
      </c>
      <c r="J1257" s="132" t="s">
        <v>667</v>
      </c>
      <c r="K1257" s="118">
        <v>1308</v>
      </c>
      <c r="L1257" s="118" t="s">
        <v>81</v>
      </c>
      <c r="M1257" s="142">
        <f>K1257</f>
        <v>1308</v>
      </c>
      <c r="N1257" s="104" t="s">
        <v>668</v>
      </c>
      <c r="O1257" s="162">
        <f>1/60*5</f>
        <v>8.3333333333333329E-2</v>
      </c>
      <c r="P1257" s="104" t="s">
        <v>112</v>
      </c>
      <c r="Q1257" s="150">
        <f t="shared" ref="Q1257:Q1260" si="637">M1257*O1257</f>
        <v>109</v>
      </c>
      <c r="R1257" s="148">
        <v>1</v>
      </c>
      <c r="S1257" s="150">
        <f t="shared" ref="S1257:S1260" si="638">Q1257+R1257</f>
        <v>110</v>
      </c>
      <c r="T1257" s="152" t="s">
        <v>48</v>
      </c>
    </row>
    <row r="1258" spans="3:20" ht="20.25" customHeight="1">
      <c r="C1258" s="96"/>
      <c r="D1258" s="102">
        <f t="shared" si="620"/>
        <v>1258</v>
      </c>
      <c r="E1258" s="106" t="s">
        <v>706</v>
      </c>
      <c r="F1258" s="108">
        <f t="shared" si="636"/>
        <v>1257</v>
      </c>
      <c r="G1258" s="105" t="s">
        <v>44</v>
      </c>
      <c r="H1258" s="105"/>
      <c r="I1258" s="104">
        <v>2.77</v>
      </c>
      <c r="J1258" s="104"/>
      <c r="K1258" s="118">
        <v>1308</v>
      </c>
      <c r="L1258" s="118" t="s">
        <v>81</v>
      </c>
      <c r="M1258" s="119">
        <v>1</v>
      </c>
      <c r="N1258" s="104" t="s">
        <v>39</v>
      </c>
      <c r="O1258" s="120">
        <v>8</v>
      </c>
      <c r="P1258" s="104" t="s">
        <v>112</v>
      </c>
      <c r="Q1258" s="150">
        <f t="shared" si="637"/>
        <v>8</v>
      </c>
      <c r="R1258" s="148">
        <v>1</v>
      </c>
      <c r="S1258" s="150">
        <f t="shared" si="638"/>
        <v>9</v>
      </c>
      <c r="T1258" s="152" t="s">
        <v>48</v>
      </c>
    </row>
    <row r="1259" spans="3:20" ht="20.25" customHeight="1">
      <c r="C1259" s="96"/>
      <c r="D1259" s="102">
        <f t="shared" si="620"/>
        <v>1259</v>
      </c>
      <c r="E1259" s="106" t="s">
        <v>707</v>
      </c>
      <c r="F1259" s="108">
        <f t="shared" si="636"/>
        <v>1258</v>
      </c>
      <c r="G1259" s="105" t="s">
        <v>666</v>
      </c>
      <c r="H1259" s="105"/>
      <c r="I1259" s="104">
        <v>2.77</v>
      </c>
      <c r="J1259" s="104"/>
      <c r="K1259" s="118">
        <v>1308</v>
      </c>
      <c r="L1259" s="118" t="s">
        <v>81</v>
      </c>
      <c r="M1259" s="142">
        <f>K1259</f>
        <v>1308</v>
      </c>
      <c r="N1259" s="104" t="s">
        <v>668</v>
      </c>
      <c r="O1259" s="162">
        <f>1/60*5</f>
        <v>8.3333333333333329E-2</v>
      </c>
      <c r="P1259" s="104" t="s">
        <v>112</v>
      </c>
      <c r="Q1259" s="150">
        <f t="shared" si="637"/>
        <v>109</v>
      </c>
      <c r="R1259" s="148">
        <v>1</v>
      </c>
      <c r="S1259" s="150">
        <f t="shared" si="638"/>
        <v>110</v>
      </c>
      <c r="T1259" s="152" t="s">
        <v>48</v>
      </c>
    </row>
    <row r="1260" spans="3:20" ht="20.25" customHeight="1">
      <c r="C1260" s="96"/>
      <c r="D1260" s="102">
        <f t="shared" si="620"/>
        <v>1260</v>
      </c>
      <c r="E1260" s="106" t="s">
        <v>708</v>
      </c>
      <c r="F1260" s="108">
        <f t="shared" si="636"/>
        <v>1259</v>
      </c>
      <c r="G1260" s="105" t="s">
        <v>44</v>
      </c>
      <c r="H1260" s="105"/>
      <c r="I1260" s="104">
        <v>2.77</v>
      </c>
      <c r="J1260" s="104"/>
      <c r="K1260" s="118">
        <v>1308</v>
      </c>
      <c r="L1260" s="118" t="s">
        <v>81</v>
      </c>
      <c r="M1260" s="119">
        <v>1</v>
      </c>
      <c r="N1260" s="104" t="s">
        <v>39</v>
      </c>
      <c r="O1260" s="120">
        <v>8</v>
      </c>
      <c r="P1260" s="104" t="s">
        <v>112</v>
      </c>
      <c r="Q1260" s="150">
        <f t="shared" si="637"/>
        <v>8</v>
      </c>
      <c r="R1260" s="148">
        <v>1</v>
      </c>
      <c r="S1260" s="150">
        <f t="shared" si="638"/>
        <v>9</v>
      </c>
      <c r="T1260" s="152" t="s">
        <v>48</v>
      </c>
    </row>
    <row r="1261" spans="3:20" ht="20.25" customHeight="1">
      <c r="C1261" s="96">
        <f>D1261</f>
        <v>1261</v>
      </c>
      <c r="D1261" s="102">
        <f t="shared" si="620"/>
        <v>1261</v>
      </c>
      <c r="E1261" s="103" t="s">
        <v>672</v>
      </c>
      <c r="F1261" s="108">
        <f>D1256</f>
        <v>1256</v>
      </c>
      <c r="G1261" s="105"/>
      <c r="H1261" s="105"/>
      <c r="I1261" s="104"/>
      <c r="J1261" s="104"/>
      <c r="K1261" s="118"/>
      <c r="L1261" s="118"/>
      <c r="M1261" s="119"/>
      <c r="N1261" s="104"/>
      <c r="O1261" s="120"/>
      <c r="P1261" s="104"/>
      <c r="Q1261" s="150"/>
      <c r="R1261" s="148"/>
      <c r="S1261" s="150"/>
      <c r="T1261" s="152"/>
    </row>
    <row r="1262" spans="3:20" ht="20.25" customHeight="1">
      <c r="C1262" s="96"/>
      <c r="D1262" s="102">
        <f t="shared" si="620"/>
        <v>1262</v>
      </c>
      <c r="E1262" s="106" t="s">
        <v>709</v>
      </c>
      <c r="F1262" s="108">
        <f t="shared" ref="F1262:F1265" si="639">D1261</f>
        <v>1261</v>
      </c>
      <c r="G1262" s="105" t="s">
        <v>666</v>
      </c>
      <c r="H1262" s="105"/>
      <c r="I1262" s="104">
        <v>2.77</v>
      </c>
      <c r="J1262" s="104"/>
      <c r="K1262" s="118">
        <v>1308</v>
      </c>
      <c r="L1262" s="118" t="s">
        <v>81</v>
      </c>
      <c r="M1262" s="142">
        <f>K1262</f>
        <v>1308</v>
      </c>
      <c r="N1262" s="104" t="s">
        <v>668</v>
      </c>
      <c r="O1262" s="162">
        <f>1/60*5</f>
        <v>8.3333333333333329E-2</v>
      </c>
      <c r="P1262" s="104" t="s">
        <v>112</v>
      </c>
      <c r="Q1262" s="150">
        <f t="shared" ref="Q1262:Q1265" si="640">M1262*O1262</f>
        <v>109</v>
      </c>
      <c r="R1262" s="148">
        <v>1</v>
      </c>
      <c r="S1262" s="150">
        <f t="shared" ref="S1262:S1265" si="641">Q1262+R1262</f>
        <v>110</v>
      </c>
      <c r="T1262" s="152" t="s">
        <v>48</v>
      </c>
    </row>
    <row r="1263" spans="3:20" ht="20.25" customHeight="1">
      <c r="C1263" s="96"/>
      <c r="D1263" s="102">
        <f t="shared" si="620"/>
        <v>1263</v>
      </c>
      <c r="E1263" s="106" t="s">
        <v>710</v>
      </c>
      <c r="F1263" s="108">
        <f t="shared" si="639"/>
        <v>1262</v>
      </c>
      <c r="G1263" s="105" t="s">
        <v>44</v>
      </c>
      <c r="H1263" s="105"/>
      <c r="I1263" s="104">
        <v>2.77</v>
      </c>
      <c r="J1263" s="104"/>
      <c r="K1263" s="118">
        <v>1308</v>
      </c>
      <c r="L1263" s="118" t="s">
        <v>81</v>
      </c>
      <c r="M1263" s="119">
        <v>1</v>
      </c>
      <c r="N1263" s="104" t="s">
        <v>39</v>
      </c>
      <c r="O1263" s="120">
        <v>8</v>
      </c>
      <c r="P1263" s="104" t="s">
        <v>112</v>
      </c>
      <c r="Q1263" s="150">
        <f t="shared" si="640"/>
        <v>8</v>
      </c>
      <c r="R1263" s="148">
        <v>1</v>
      </c>
      <c r="S1263" s="150">
        <f t="shared" si="641"/>
        <v>9</v>
      </c>
      <c r="T1263" s="152" t="s">
        <v>48</v>
      </c>
    </row>
    <row r="1264" spans="3:20" ht="20.25" customHeight="1">
      <c r="C1264" s="96"/>
      <c r="D1264" s="102">
        <f t="shared" si="620"/>
        <v>1264</v>
      </c>
      <c r="E1264" s="106" t="s">
        <v>711</v>
      </c>
      <c r="F1264" s="108">
        <f t="shared" si="639"/>
        <v>1263</v>
      </c>
      <c r="G1264" s="105" t="s">
        <v>666</v>
      </c>
      <c r="H1264" s="105"/>
      <c r="I1264" s="104">
        <v>2.77</v>
      </c>
      <c r="J1264" s="104"/>
      <c r="K1264" s="118">
        <v>1308</v>
      </c>
      <c r="L1264" s="118" t="s">
        <v>81</v>
      </c>
      <c r="M1264" s="142">
        <f>K1264</f>
        <v>1308</v>
      </c>
      <c r="N1264" s="104" t="s">
        <v>668</v>
      </c>
      <c r="O1264" s="162">
        <f>1/60*5</f>
        <v>8.3333333333333329E-2</v>
      </c>
      <c r="P1264" s="104" t="s">
        <v>112</v>
      </c>
      <c r="Q1264" s="150">
        <f t="shared" si="640"/>
        <v>109</v>
      </c>
      <c r="R1264" s="148">
        <v>1</v>
      </c>
      <c r="S1264" s="150">
        <f t="shared" si="641"/>
        <v>110</v>
      </c>
      <c r="T1264" s="152" t="s">
        <v>48</v>
      </c>
    </row>
    <row r="1265" spans="3:20" ht="20.25" customHeight="1">
      <c r="C1265" s="96"/>
      <c r="D1265" s="102">
        <f t="shared" si="620"/>
        <v>1265</v>
      </c>
      <c r="E1265" s="106" t="s">
        <v>712</v>
      </c>
      <c r="F1265" s="108">
        <f t="shared" si="639"/>
        <v>1264</v>
      </c>
      <c r="G1265" s="105" t="s">
        <v>44</v>
      </c>
      <c r="H1265" s="105"/>
      <c r="I1265" s="104">
        <v>2.77</v>
      </c>
      <c r="J1265" s="104"/>
      <c r="K1265" s="118">
        <v>1308</v>
      </c>
      <c r="L1265" s="118" t="s">
        <v>81</v>
      </c>
      <c r="M1265" s="119">
        <v>1</v>
      </c>
      <c r="N1265" s="104" t="s">
        <v>39</v>
      </c>
      <c r="O1265" s="120">
        <v>8</v>
      </c>
      <c r="P1265" s="104" t="s">
        <v>112</v>
      </c>
      <c r="Q1265" s="150">
        <f t="shared" si="640"/>
        <v>8</v>
      </c>
      <c r="R1265" s="148">
        <v>1</v>
      </c>
      <c r="S1265" s="150">
        <f t="shared" si="641"/>
        <v>9</v>
      </c>
      <c r="T1265" s="152" t="s">
        <v>48</v>
      </c>
    </row>
    <row r="1266" spans="3:20" ht="20.25" customHeight="1">
      <c r="C1266" s="96">
        <f t="shared" ref="C1266:C1267" si="642">D1266</f>
        <v>1266</v>
      </c>
      <c r="D1266" s="102">
        <f t="shared" si="620"/>
        <v>1266</v>
      </c>
      <c r="E1266" s="107" t="s">
        <v>777</v>
      </c>
      <c r="F1266" s="108"/>
      <c r="G1266" s="105"/>
      <c r="H1266" s="105"/>
      <c r="I1266" s="104"/>
      <c r="J1266" s="104"/>
      <c r="K1266" s="118"/>
      <c r="L1266" s="118"/>
      <c r="M1266" s="119"/>
      <c r="N1266" s="104"/>
      <c r="O1266" s="120"/>
      <c r="P1266" s="104"/>
      <c r="Q1266" s="150"/>
      <c r="R1266" s="148"/>
      <c r="S1266" s="150"/>
      <c r="T1266" s="152"/>
    </row>
    <row r="1267" spans="3:20" ht="20.25" customHeight="1">
      <c r="C1267" s="96">
        <f t="shared" si="642"/>
        <v>1267</v>
      </c>
      <c r="D1267" s="102">
        <f t="shared" si="620"/>
        <v>1267</v>
      </c>
      <c r="E1267" s="106" t="s">
        <v>778</v>
      </c>
      <c r="F1267" s="108"/>
      <c r="G1267" s="105"/>
      <c r="H1267" s="105"/>
      <c r="I1267" s="104"/>
      <c r="J1267" s="104"/>
      <c r="K1267" s="118">
        <v>1</v>
      </c>
      <c r="L1267" s="141" t="s">
        <v>39</v>
      </c>
      <c r="M1267" s="119">
        <v>1</v>
      </c>
      <c r="N1267" s="132" t="s">
        <v>48</v>
      </c>
      <c r="O1267" s="120">
        <v>6</v>
      </c>
      <c r="P1267" s="132" t="s">
        <v>48</v>
      </c>
      <c r="Q1267" s="150">
        <f t="shared" ref="Q1267:Q1270" si="643">M1267*O1267</f>
        <v>6</v>
      </c>
      <c r="R1267" s="148"/>
      <c r="S1267" s="150">
        <f t="shared" ref="S1267:S1270" si="644">Q1267+R1267</f>
        <v>6</v>
      </c>
      <c r="T1267" s="152" t="s">
        <v>48</v>
      </c>
    </row>
    <row r="1268" spans="3:20" ht="20.25" customHeight="1">
      <c r="C1268" s="96"/>
      <c r="D1268" s="102">
        <f t="shared" si="620"/>
        <v>1268</v>
      </c>
      <c r="E1268" s="106" t="s">
        <v>777</v>
      </c>
      <c r="F1268" s="108">
        <f t="shared" ref="F1268:F1270" si="645">D1267</f>
        <v>1267</v>
      </c>
      <c r="G1268" s="105" t="s">
        <v>656</v>
      </c>
      <c r="H1268" s="105"/>
      <c r="I1268" s="104"/>
      <c r="J1268" s="104" t="s">
        <v>407</v>
      </c>
      <c r="K1268" s="118">
        <v>1</v>
      </c>
      <c r="L1268" s="118" t="s">
        <v>39</v>
      </c>
      <c r="M1268" s="119">
        <v>1</v>
      </c>
      <c r="N1268" s="104" t="s">
        <v>661</v>
      </c>
      <c r="O1268" s="120">
        <v>12</v>
      </c>
      <c r="P1268" s="104" t="s">
        <v>112</v>
      </c>
      <c r="Q1268" s="150">
        <f t="shared" si="643"/>
        <v>12</v>
      </c>
      <c r="R1268" s="148">
        <v>1</v>
      </c>
      <c r="S1268" s="150">
        <f t="shared" si="644"/>
        <v>13</v>
      </c>
      <c r="T1268" s="152" t="s">
        <v>48</v>
      </c>
    </row>
    <row r="1269" spans="3:20" ht="20.25" customHeight="1">
      <c r="C1269" s="96"/>
      <c r="D1269" s="102">
        <f t="shared" si="620"/>
        <v>1269</v>
      </c>
      <c r="E1269" s="106" t="s">
        <v>779</v>
      </c>
      <c r="F1269" s="108">
        <f t="shared" si="645"/>
        <v>1268</v>
      </c>
      <c r="G1269" s="105" t="s">
        <v>348</v>
      </c>
      <c r="H1269" s="105"/>
      <c r="I1269" s="104"/>
      <c r="J1269" s="104" t="str">
        <f>J1268</f>
        <v>6130 lg</v>
      </c>
      <c r="K1269" s="118">
        <v>1</v>
      </c>
      <c r="L1269" s="118" t="s">
        <v>39</v>
      </c>
      <c r="M1269" s="119">
        <v>1</v>
      </c>
      <c r="N1269" s="104" t="s">
        <v>661</v>
      </c>
      <c r="O1269" s="120">
        <v>1</v>
      </c>
      <c r="P1269" s="104" t="s">
        <v>41</v>
      </c>
      <c r="Q1269" s="150">
        <f t="shared" si="643"/>
        <v>1</v>
      </c>
      <c r="R1269" s="148">
        <v>0</v>
      </c>
      <c r="S1269" s="150">
        <f t="shared" si="644"/>
        <v>1</v>
      </c>
      <c r="T1269" s="152" t="s">
        <v>41</v>
      </c>
    </row>
    <row r="1270" spans="3:20" ht="20.25" customHeight="1">
      <c r="C1270" s="96"/>
      <c r="D1270" s="102">
        <f t="shared" si="620"/>
        <v>1270</v>
      </c>
      <c r="E1270" s="106" t="s">
        <v>680</v>
      </c>
      <c r="F1270" s="108">
        <f t="shared" si="645"/>
        <v>1269</v>
      </c>
      <c r="G1270" s="105" t="s">
        <v>640</v>
      </c>
      <c r="H1270" s="105"/>
      <c r="I1270" s="104"/>
      <c r="J1270" s="104" t="str">
        <f>J1269</f>
        <v>6130 lg</v>
      </c>
      <c r="K1270" s="118">
        <v>1</v>
      </c>
      <c r="L1270" s="118" t="s">
        <v>39</v>
      </c>
      <c r="M1270" s="119">
        <v>1</v>
      </c>
      <c r="N1270" s="104" t="s">
        <v>661</v>
      </c>
      <c r="O1270" s="120">
        <v>8</v>
      </c>
      <c r="P1270" s="104" t="s">
        <v>112</v>
      </c>
      <c r="Q1270" s="150">
        <f t="shared" si="643"/>
        <v>8</v>
      </c>
      <c r="R1270" s="148">
        <v>0</v>
      </c>
      <c r="S1270" s="150">
        <f t="shared" si="644"/>
        <v>8</v>
      </c>
      <c r="T1270" s="152" t="s">
        <v>48</v>
      </c>
    </row>
    <row r="1271" spans="3:20" ht="20.25" customHeight="1">
      <c r="C1271" s="96">
        <f t="shared" ref="C1271" si="646">D1271</f>
        <v>1271</v>
      </c>
      <c r="D1271" s="102">
        <f t="shared" si="620"/>
        <v>1271</v>
      </c>
      <c r="E1271" s="103" t="s">
        <v>785</v>
      </c>
      <c r="F1271" s="108"/>
      <c r="G1271" s="105"/>
      <c r="H1271" s="105"/>
      <c r="I1271" s="104"/>
      <c r="J1271" s="104"/>
      <c r="K1271" s="118"/>
      <c r="L1271" s="118"/>
      <c r="M1271" s="119"/>
      <c r="N1271" s="104"/>
      <c r="O1271" s="120"/>
      <c r="P1271" s="104"/>
      <c r="Q1271" s="150"/>
      <c r="R1271" s="148"/>
      <c r="S1271" s="150"/>
      <c r="T1271" s="149"/>
    </row>
    <row r="1272" spans="3:20" ht="20.25" customHeight="1">
      <c r="C1272" s="96"/>
      <c r="D1272" s="102">
        <f t="shared" ref="D1272:D1289" si="647">D1271+1</f>
        <v>1272</v>
      </c>
      <c r="E1272" s="106" t="s">
        <v>715</v>
      </c>
      <c r="F1272" s="108"/>
      <c r="G1272" s="105" t="s">
        <v>201</v>
      </c>
      <c r="H1272" s="105"/>
      <c r="I1272" s="104"/>
      <c r="J1272" s="104"/>
      <c r="K1272" s="118">
        <v>1</v>
      </c>
      <c r="L1272" s="141" t="s">
        <v>84</v>
      </c>
      <c r="M1272" s="119">
        <v>1</v>
      </c>
      <c r="N1272" s="132" t="s">
        <v>661</v>
      </c>
      <c r="O1272" s="139">
        <v>16</v>
      </c>
      <c r="P1272" s="104" t="s">
        <v>112</v>
      </c>
      <c r="Q1272" s="150">
        <f t="shared" ref="Q1272" si="648">M1272*O1272</f>
        <v>16</v>
      </c>
      <c r="R1272" s="148">
        <v>0</v>
      </c>
      <c r="S1272" s="150">
        <f t="shared" ref="S1272" si="649">Q1272+R1272</f>
        <v>16</v>
      </c>
      <c r="T1272" s="152" t="s">
        <v>48</v>
      </c>
    </row>
    <row r="1273" spans="3:20" ht="20.25" customHeight="1">
      <c r="C1273" s="96"/>
      <c r="D1273" s="102">
        <f t="shared" si="647"/>
        <v>1273</v>
      </c>
      <c r="E1273" s="106" t="s">
        <v>716</v>
      </c>
      <c r="F1273" s="108">
        <f>D1272</f>
        <v>1272</v>
      </c>
      <c r="G1273" s="105" t="s">
        <v>656</v>
      </c>
      <c r="H1273" s="105"/>
      <c r="I1273" s="104"/>
      <c r="J1273" s="104" t="s">
        <v>717</v>
      </c>
      <c r="K1273" s="118">
        <v>1</v>
      </c>
      <c r="L1273" s="118" t="s">
        <v>39</v>
      </c>
      <c r="M1273" s="119">
        <v>1</v>
      </c>
      <c r="N1273" s="104" t="s">
        <v>661</v>
      </c>
      <c r="O1273" s="120">
        <v>12</v>
      </c>
      <c r="P1273" s="104" t="s">
        <v>112</v>
      </c>
      <c r="Q1273" s="150">
        <f t="shared" ref="Q1273:Q1289" si="650">M1273*O1273</f>
        <v>12</v>
      </c>
      <c r="R1273" s="148">
        <v>1</v>
      </c>
      <c r="S1273" s="150">
        <f t="shared" ref="S1273:S1289" si="651">Q1273+R1273</f>
        <v>13</v>
      </c>
      <c r="T1273" s="152" t="s">
        <v>48</v>
      </c>
    </row>
    <row r="1274" spans="3:20" ht="20.25" customHeight="1">
      <c r="C1274" s="96"/>
      <c r="D1274" s="102">
        <f t="shared" si="647"/>
        <v>1274</v>
      </c>
      <c r="E1274" s="106" t="s">
        <v>718</v>
      </c>
      <c r="F1274" s="108">
        <f>D1273</f>
        <v>1273</v>
      </c>
      <c r="G1274" s="105" t="s">
        <v>348</v>
      </c>
      <c r="H1274" s="105"/>
      <c r="I1274" s="104"/>
      <c r="J1274" s="104" t="s">
        <v>717</v>
      </c>
      <c r="K1274" s="118">
        <v>1</v>
      </c>
      <c r="L1274" s="118" t="s">
        <v>39</v>
      </c>
      <c r="M1274" s="119">
        <v>1</v>
      </c>
      <c r="N1274" s="104" t="s">
        <v>661</v>
      </c>
      <c r="O1274" s="120">
        <v>4</v>
      </c>
      <c r="P1274" s="132" t="s">
        <v>112</v>
      </c>
      <c r="Q1274" s="150">
        <f t="shared" si="650"/>
        <v>4</v>
      </c>
      <c r="R1274" s="148">
        <v>1</v>
      </c>
      <c r="S1274" s="150">
        <f t="shared" si="651"/>
        <v>5</v>
      </c>
      <c r="T1274" s="152" t="s">
        <v>48</v>
      </c>
    </row>
    <row r="1275" spans="3:20" ht="20.25" customHeight="1">
      <c r="C1275" s="96"/>
      <c r="D1275" s="102">
        <f t="shared" si="647"/>
        <v>1275</v>
      </c>
      <c r="E1275" s="106" t="s">
        <v>719</v>
      </c>
      <c r="F1275" s="108">
        <f>D1274</f>
        <v>1274</v>
      </c>
      <c r="G1275" s="105" t="s">
        <v>640</v>
      </c>
      <c r="H1275" s="105"/>
      <c r="I1275" s="104"/>
      <c r="J1275" s="104" t="s">
        <v>717</v>
      </c>
      <c r="K1275" s="118">
        <v>1</v>
      </c>
      <c r="L1275" s="118" t="s">
        <v>39</v>
      </c>
      <c r="M1275" s="119">
        <v>1</v>
      </c>
      <c r="N1275" s="104" t="s">
        <v>661</v>
      </c>
      <c r="O1275" s="120">
        <v>4</v>
      </c>
      <c r="P1275" s="104" t="s">
        <v>112</v>
      </c>
      <c r="Q1275" s="150">
        <f t="shared" si="650"/>
        <v>4</v>
      </c>
      <c r="R1275" s="148">
        <v>0</v>
      </c>
      <c r="S1275" s="150">
        <f t="shared" si="651"/>
        <v>4</v>
      </c>
      <c r="T1275" s="152" t="s">
        <v>48</v>
      </c>
    </row>
    <row r="1276" spans="3:20" ht="20.25" customHeight="1">
      <c r="C1276" s="96"/>
      <c r="D1276" s="102">
        <f t="shared" si="647"/>
        <v>1276</v>
      </c>
      <c r="E1276" s="106" t="s">
        <v>720</v>
      </c>
      <c r="F1276" s="108">
        <f>D1275</f>
        <v>1275</v>
      </c>
      <c r="G1276" s="105" t="s">
        <v>640</v>
      </c>
      <c r="H1276" s="105"/>
      <c r="I1276" s="104"/>
      <c r="J1276" s="104" t="s">
        <v>717</v>
      </c>
      <c r="K1276" s="118">
        <v>1</v>
      </c>
      <c r="L1276" s="118" t="s">
        <v>39</v>
      </c>
      <c r="M1276" s="119">
        <v>1</v>
      </c>
      <c r="N1276" s="104" t="s">
        <v>661</v>
      </c>
      <c r="O1276" s="120">
        <v>1</v>
      </c>
      <c r="P1276" s="132" t="s">
        <v>41</v>
      </c>
      <c r="Q1276" s="150">
        <f t="shared" si="650"/>
        <v>1</v>
      </c>
      <c r="R1276" s="148">
        <v>0</v>
      </c>
      <c r="S1276" s="150">
        <f t="shared" si="651"/>
        <v>1</v>
      </c>
      <c r="T1276" s="152" t="s">
        <v>41</v>
      </c>
    </row>
    <row r="1277" spans="3:20" ht="20.25" customHeight="1">
      <c r="C1277" s="96"/>
      <c r="D1277" s="102">
        <f t="shared" si="647"/>
        <v>1277</v>
      </c>
      <c r="E1277" s="106" t="s">
        <v>721</v>
      </c>
      <c r="F1277" s="108">
        <f>D1276</f>
        <v>1276</v>
      </c>
      <c r="G1277" s="105" t="s">
        <v>640</v>
      </c>
      <c r="H1277" s="105"/>
      <c r="I1277" s="104"/>
      <c r="J1277" s="104" t="s">
        <v>717</v>
      </c>
      <c r="K1277" s="118">
        <v>1</v>
      </c>
      <c r="L1277" s="118" t="s">
        <v>39</v>
      </c>
      <c r="M1277" s="119">
        <v>1</v>
      </c>
      <c r="N1277" s="104" t="s">
        <v>661</v>
      </c>
      <c r="O1277" s="120">
        <v>4</v>
      </c>
      <c r="P1277" s="104" t="s">
        <v>112</v>
      </c>
      <c r="Q1277" s="150">
        <f t="shared" si="650"/>
        <v>4</v>
      </c>
      <c r="R1277" s="148">
        <v>1</v>
      </c>
      <c r="S1277" s="150">
        <f t="shared" si="651"/>
        <v>5</v>
      </c>
      <c r="T1277" s="152" t="s">
        <v>48</v>
      </c>
    </row>
    <row r="1278" spans="3:20" ht="21" customHeight="1">
      <c r="C1278" s="96">
        <f>D1278</f>
        <v>1278</v>
      </c>
      <c r="D1278" s="102">
        <f t="shared" si="647"/>
        <v>1278</v>
      </c>
      <c r="E1278" s="103" t="s">
        <v>786</v>
      </c>
      <c r="F1278" s="108">
        <f>D1271</f>
        <v>1271</v>
      </c>
      <c r="G1278" s="105"/>
      <c r="H1278" s="105"/>
      <c r="I1278" s="104"/>
      <c r="J1278" s="104"/>
      <c r="K1278" s="118"/>
      <c r="L1278" s="118"/>
      <c r="M1278" s="119"/>
      <c r="N1278" s="104"/>
      <c r="O1278" s="120"/>
      <c r="P1278" s="104"/>
      <c r="Q1278" s="150"/>
      <c r="R1278" s="148"/>
      <c r="S1278" s="150"/>
      <c r="T1278" s="149"/>
    </row>
    <row r="1279" spans="3:20" ht="21" customHeight="1">
      <c r="C1279" s="96"/>
      <c r="D1279" s="102">
        <f t="shared" si="647"/>
        <v>1279</v>
      </c>
      <c r="E1279" s="106" t="s">
        <v>787</v>
      </c>
      <c r="F1279" s="108"/>
      <c r="G1279" s="105" t="s">
        <v>640</v>
      </c>
      <c r="H1279" s="105"/>
      <c r="I1279" s="104"/>
      <c r="J1279" s="104" t="s">
        <v>717</v>
      </c>
      <c r="K1279" s="118">
        <v>1</v>
      </c>
      <c r="L1279" s="118" t="s">
        <v>39</v>
      </c>
      <c r="M1279" s="119">
        <v>1</v>
      </c>
      <c r="N1279" s="104" t="s">
        <v>661</v>
      </c>
      <c r="O1279" s="139">
        <v>16</v>
      </c>
      <c r="P1279" s="104" t="s">
        <v>112</v>
      </c>
      <c r="Q1279" s="150">
        <f t="shared" ref="Q1279" si="652">M1279*O1279</f>
        <v>16</v>
      </c>
      <c r="R1279" s="148">
        <v>0</v>
      </c>
      <c r="S1279" s="150">
        <f t="shared" ref="S1279" si="653">Q1279+R1279</f>
        <v>16</v>
      </c>
      <c r="T1279" s="152" t="s">
        <v>48</v>
      </c>
    </row>
    <row r="1280" spans="3:20" ht="20.25" customHeight="1">
      <c r="C1280" s="96"/>
      <c r="D1280" s="102">
        <f t="shared" si="647"/>
        <v>1280</v>
      </c>
      <c r="E1280" s="106" t="s">
        <v>718</v>
      </c>
      <c r="F1280" s="108">
        <f>D1279</f>
        <v>1279</v>
      </c>
      <c r="G1280" s="105" t="s">
        <v>640</v>
      </c>
      <c r="H1280" s="105"/>
      <c r="I1280" s="104"/>
      <c r="J1280" s="104" t="s">
        <v>717</v>
      </c>
      <c r="K1280" s="118">
        <v>1</v>
      </c>
      <c r="L1280" s="118" t="s">
        <v>39</v>
      </c>
      <c r="M1280" s="119">
        <v>1</v>
      </c>
      <c r="N1280" s="104" t="s">
        <v>661</v>
      </c>
      <c r="O1280" s="120">
        <v>8</v>
      </c>
      <c r="P1280" s="104" t="s">
        <v>112</v>
      </c>
      <c r="Q1280" s="150">
        <f t="shared" si="650"/>
        <v>8</v>
      </c>
      <c r="R1280" s="148">
        <v>0</v>
      </c>
      <c r="S1280" s="150">
        <f t="shared" si="651"/>
        <v>8</v>
      </c>
      <c r="T1280" s="152" t="s">
        <v>48</v>
      </c>
    </row>
    <row r="1281" spans="3:20" ht="20.25" customHeight="1">
      <c r="C1281" s="96"/>
      <c r="D1281" s="102">
        <f t="shared" si="647"/>
        <v>1281</v>
      </c>
      <c r="E1281" s="106" t="s">
        <v>722</v>
      </c>
      <c r="F1281" s="108">
        <f>D1280</f>
        <v>1280</v>
      </c>
      <c r="G1281" s="105" t="s">
        <v>640</v>
      </c>
      <c r="H1281" s="105"/>
      <c r="I1281" s="104"/>
      <c r="J1281" s="104" t="s">
        <v>717</v>
      </c>
      <c r="K1281" s="118">
        <v>1</v>
      </c>
      <c r="L1281" s="118" t="s">
        <v>39</v>
      </c>
      <c r="M1281" s="119">
        <v>1</v>
      </c>
      <c r="N1281" s="104" t="s">
        <v>661</v>
      </c>
      <c r="O1281" s="139">
        <v>16</v>
      </c>
      <c r="P1281" s="104" t="s">
        <v>112</v>
      </c>
      <c r="Q1281" s="150">
        <f t="shared" si="650"/>
        <v>16</v>
      </c>
      <c r="R1281" s="148">
        <v>0</v>
      </c>
      <c r="S1281" s="150">
        <f t="shared" si="651"/>
        <v>16</v>
      </c>
      <c r="T1281" s="152" t="s">
        <v>48</v>
      </c>
    </row>
    <row r="1282" spans="3:20" ht="20.25" customHeight="1">
      <c r="C1282" s="96"/>
      <c r="D1282" s="102">
        <f t="shared" si="647"/>
        <v>1282</v>
      </c>
      <c r="E1282" s="106" t="s">
        <v>724</v>
      </c>
      <c r="F1282" s="108">
        <f>D1281</f>
        <v>1281</v>
      </c>
      <c r="G1282" s="105" t="s">
        <v>640</v>
      </c>
      <c r="H1282" s="105"/>
      <c r="I1282" s="104"/>
      <c r="J1282" s="104" t="s">
        <v>717</v>
      </c>
      <c r="K1282" s="118">
        <v>1</v>
      </c>
      <c r="L1282" s="118" t="s">
        <v>39</v>
      </c>
      <c r="M1282" s="119">
        <v>1</v>
      </c>
      <c r="N1282" s="104" t="s">
        <v>661</v>
      </c>
      <c r="O1282" s="120">
        <v>1</v>
      </c>
      <c r="P1282" s="132" t="s">
        <v>41</v>
      </c>
      <c r="Q1282" s="150">
        <f t="shared" si="650"/>
        <v>1</v>
      </c>
      <c r="R1282" s="148">
        <v>0</v>
      </c>
      <c r="S1282" s="150">
        <f t="shared" si="651"/>
        <v>1</v>
      </c>
      <c r="T1282" s="152" t="s">
        <v>41</v>
      </c>
    </row>
    <row r="1283" spans="3:20" ht="20.25" customHeight="1">
      <c r="C1283" s="96"/>
      <c r="D1283" s="102">
        <f t="shared" si="647"/>
        <v>1283</v>
      </c>
      <c r="E1283" s="106" t="s">
        <v>721</v>
      </c>
      <c r="F1283" s="108">
        <f>D1282</f>
        <v>1282</v>
      </c>
      <c r="G1283" s="105" t="s">
        <v>640</v>
      </c>
      <c r="H1283" s="105"/>
      <c r="I1283" s="104"/>
      <c r="J1283" s="104" t="s">
        <v>717</v>
      </c>
      <c r="K1283" s="118">
        <v>1</v>
      </c>
      <c r="L1283" s="118" t="s">
        <v>39</v>
      </c>
      <c r="M1283" s="119">
        <v>1</v>
      </c>
      <c r="N1283" s="104" t="s">
        <v>661</v>
      </c>
      <c r="O1283" s="139">
        <v>6</v>
      </c>
      <c r="P1283" s="104" t="s">
        <v>112</v>
      </c>
      <c r="Q1283" s="150">
        <f t="shared" si="650"/>
        <v>6</v>
      </c>
      <c r="R1283" s="148">
        <v>0</v>
      </c>
      <c r="S1283" s="150">
        <f t="shared" si="651"/>
        <v>6</v>
      </c>
      <c r="T1283" s="152" t="s">
        <v>48</v>
      </c>
    </row>
    <row r="1284" spans="3:20" ht="20.25" customHeight="1">
      <c r="C1284" s="96">
        <f>D1284</f>
        <v>1284</v>
      </c>
      <c r="D1284" s="102">
        <f t="shared" si="647"/>
        <v>1284</v>
      </c>
      <c r="E1284" s="103" t="s">
        <v>725</v>
      </c>
      <c r="F1284" s="108">
        <f>D1278</f>
        <v>1278</v>
      </c>
      <c r="G1284" s="105" t="s">
        <v>640</v>
      </c>
      <c r="H1284" s="105"/>
      <c r="I1284" s="104"/>
      <c r="J1284" s="104"/>
      <c r="K1284" s="118"/>
      <c r="L1284" s="118"/>
      <c r="M1284" s="119"/>
      <c r="N1284" s="104"/>
      <c r="O1284" s="120"/>
      <c r="P1284" s="104"/>
      <c r="Q1284" s="150"/>
      <c r="R1284" s="148"/>
      <c r="S1284" s="150"/>
      <c r="T1284" s="152"/>
    </row>
    <row r="1285" spans="3:20" ht="20.25" customHeight="1">
      <c r="C1285" s="96"/>
      <c r="D1285" s="102">
        <f t="shared" si="647"/>
        <v>1285</v>
      </c>
      <c r="E1285" s="106" t="s">
        <v>726</v>
      </c>
      <c r="F1285" s="108"/>
      <c r="G1285" s="105" t="s">
        <v>640</v>
      </c>
      <c r="H1285" s="105"/>
      <c r="I1285" s="104"/>
      <c r="J1285" s="104" t="s">
        <v>717</v>
      </c>
      <c r="K1285" s="118">
        <v>1</v>
      </c>
      <c r="L1285" s="118" t="s">
        <v>39</v>
      </c>
      <c r="M1285" s="119">
        <v>1</v>
      </c>
      <c r="N1285" s="104" t="s">
        <v>661</v>
      </c>
      <c r="O1285" s="120">
        <v>12</v>
      </c>
      <c r="P1285" s="104" t="s">
        <v>112</v>
      </c>
      <c r="Q1285" s="150">
        <f t="shared" si="650"/>
        <v>12</v>
      </c>
      <c r="R1285" s="148">
        <v>0</v>
      </c>
      <c r="S1285" s="150">
        <f t="shared" si="651"/>
        <v>12</v>
      </c>
      <c r="T1285" s="152" t="s">
        <v>48</v>
      </c>
    </row>
    <row r="1286" spans="3:20" ht="20.25" customHeight="1">
      <c r="C1286" s="96">
        <f>D1286</f>
        <v>1286</v>
      </c>
      <c r="D1286" s="102">
        <f t="shared" si="647"/>
        <v>1286</v>
      </c>
      <c r="E1286" s="103" t="s">
        <v>727</v>
      </c>
      <c r="F1286" s="108">
        <f>D1284</f>
        <v>1284</v>
      </c>
      <c r="G1286" s="105" t="s">
        <v>640</v>
      </c>
      <c r="H1286" s="105"/>
      <c r="I1286" s="104"/>
      <c r="J1286" s="104"/>
      <c r="K1286" s="118"/>
      <c r="L1286" s="118"/>
      <c r="M1286" s="119"/>
      <c r="N1286" s="104"/>
      <c r="O1286" s="120"/>
      <c r="P1286" s="104"/>
      <c r="Q1286" s="150"/>
      <c r="R1286" s="148"/>
      <c r="S1286" s="150"/>
      <c r="T1286" s="149"/>
    </row>
    <row r="1287" spans="3:20" ht="20.25" customHeight="1">
      <c r="C1287" s="96"/>
      <c r="D1287" s="102">
        <f t="shared" si="647"/>
        <v>1287</v>
      </c>
      <c r="E1287" s="106" t="s">
        <v>728</v>
      </c>
      <c r="F1287" s="108"/>
      <c r="G1287" s="105" t="s">
        <v>640</v>
      </c>
      <c r="H1287" s="105"/>
      <c r="I1287" s="104"/>
      <c r="J1287" s="104" t="s">
        <v>717</v>
      </c>
      <c r="K1287" s="118">
        <v>1</v>
      </c>
      <c r="L1287" s="118" t="s">
        <v>39</v>
      </c>
      <c r="M1287" s="119">
        <v>1</v>
      </c>
      <c r="N1287" s="104" t="s">
        <v>661</v>
      </c>
      <c r="O1287" s="120">
        <v>1</v>
      </c>
      <c r="P1287" s="132" t="s">
        <v>41</v>
      </c>
      <c r="Q1287" s="150">
        <f t="shared" si="650"/>
        <v>1</v>
      </c>
      <c r="R1287" s="148">
        <v>0</v>
      </c>
      <c r="S1287" s="150">
        <f t="shared" si="651"/>
        <v>1</v>
      </c>
      <c r="T1287" s="132" t="s">
        <v>41</v>
      </c>
    </row>
    <row r="1288" spans="3:20" ht="20.25" customHeight="1">
      <c r="C1288" s="96"/>
      <c r="D1288" s="102">
        <f t="shared" si="647"/>
        <v>1288</v>
      </c>
      <c r="E1288" s="106" t="s">
        <v>729</v>
      </c>
      <c r="F1288" s="108">
        <f>D1287</f>
        <v>1287</v>
      </c>
      <c r="G1288" s="105" t="s">
        <v>640</v>
      </c>
      <c r="H1288" s="105"/>
      <c r="I1288" s="104"/>
      <c r="J1288" s="104" t="s">
        <v>717</v>
      </c>
      <c r="K1288" s="118">
        <v>1</v>
      </c>
      <c r="L1288" s="118" t="s">
        <v>39</v>
      </c>
      <c r="M1288" s="119">
        <v>1</v>
      </c>
      <c r="N1288" s="104" t="s">
        <v>661</v>
      </c>
      <c r="O1288" s="120">
        <v>1</v>
      </c>
      <c r="P1288" s="132" t="s">
        <v>41</v>
      </c>
      <c r="Q1288" s="150">
        <f t="shared" si="650"/>
        <v>1</v>
      </c>
      <c r="R1288" s="148">
        <v>0</v>
      </c>
      <c r="S1288" s="150">
        <f t="shared" si="651"/>
        <v>1</v>
      </c>
      <c r="T1288" s="132" t="s">
        <v>41</v>
      </c>
    </row>
    <row r="1289" spans="3:20" ht="20.25" customHeight="1">
      <c r="C1289" s="96"/>
      <c r="D1289" s="102">
        <f t="shared" si="647"/>
        <v>1289</v>
      </c>
      <c r="E1289" s="106" t="s">
        <v>730</v>
      </c>
      <c r="F1289" s="108">
        <f>D1288</f>
        <v>1288</v>
      </c>
      <c r="G1289" s="105" t="s">
        <v>640</v>
      </c>
      <c r="H1289" s="105"/>
      <c r="I1289" s="104"/>
      <c r="J1289" s="104" t="s">
        <v>717</v>
      </c>
      <c r="K1289" s="118">
        <v>1</v>
      </c>
      <c r="L1289" s="118" t="s">
        <v>39</v>
      </c>
      <c r="M1289" s="119">
        <v>1</v>
      </c>
      <c r="N1289" s="104" t="s">
        <v>661</v>
      </c>
      <c r="O1289" s="120">
        <v>1</v>
      </c>
      <c r="P1289" s="132" t="s">
        <v>41</v>
      </c>
      <c r="Q1289" s="150">
        <f t="shared" si="650"/>
        <v>1</v>
      </c>
      <c r="R1289" s="148">
        <v>0</v>
      </c>
      <c r="S1289" s="150">
        <f t="shared" si="651"/>
        <v>1</v>
      </c>
      <c r="T1289" s="132" t="s">
        <v>41</v>
      </c>
    </row>
  </sheetData>
  <sheetProtection formatCells="0" formatColumns="0" formatRows="0" insertColumns="0" insertRows="0" insertHyperlinks="0" deleteColumns="0" deleteRows="0" sort="0" autoFilter="0" pivotTables="0"/>
  <autoFilter ref="E1:E1289"/>
  <pageMargins left="0.69930555555555596" right="0.27916666666666701" top="0.75" bottom="0.75" header="0.3" footer="0.3"/>
  <pageSetup paperSize="9" scale="8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3"/>
  <sheetViews>
    <sheetView showFormulas="1" showGridLines="0" workbookViewId="0"/>
  </sheetViews>
  <sheetFormatPr defaultColWidth="9" defaultRowHeight="14.25"/>
  <cols>
    <col min="3" max="3" width="12.796875" bestFit="1" customWidth="1"/>
    <col min="7" max="7" width="9" style="19"/>
    <col min="9" max="9" width="9" style="20"/>
  </cols>
  <sheetData>
    <row r="3" spans="2:13">
      <c r="B3" s="21" t="s">
        <v>1167</v>
      </c>
      <c r="C3" s="21" t="s">
        <v>1168</v>
      </c>
      <c r="D3" s="21" t="s">
        <v>1169</v>
      </c>
      <c r="E3" s="21" t="s">
        <v>1090</v>
      </c>
      <c r="F3" s="21" t="s">
        <v>1170</v>
      </c>
      <c r="G3" s="22" t="s">
        <v>1171</v>
      </c>
      <c r="H3" s="21" t="s">
        <v>1172</v>
      </c>
      <c r="I3" s="24" t="s">
        <v>1173</v>
      </c>
      <c r="J3" s="21" t="s">
        <v>4</v>
      </c>
      <c r="K3" s="21" t="s">
        <v>1174</v>
      </c>
      <c r="L3" s="21" t="s">
        <v>1175</v>
      </c>
      <c r="M3" s="1"/>
    </row>
    <row r="4" spans="2:13">
      <c r="B4" s="1" t="s">
        <v>1226</v>
      </c>
      <c r="C4" s="1" t="s">
        <v>1225</v>
      </c>
      <c r="D4" s="1" t="s">
        <v>1176</v>
      </c>
      <c r="E4" s="1" t="s">
        <v>1224</v>
      </c>
      <c r="F4" s="1">
        <v>80</v>
      </c>
      <c r="G4" s="23" t="s">
        <v>1178</v>
      </c>
      <c r="H4" s="1" t="s">
        <v>1177</v>
      </c>
      <c r="I4" s="25"/>
      <c r="J4" s="1">
        <v>1</v>
      </c>
      <c r="K4" s="1"/>
      <c r="L4" s="1"/>
      <c r="M4" s="1"/>
    </row>
    <row r="5" spans="2:13">
      <c r="B5" s="1" t="s">
        <v>1227</v>
      </c>
      <c r="C5" s="1" t="s">
        <v>1228</v>
      </c>
      <c r="D5" s="1"/>
      <c r="E5" s="1" t="s">
        <v>1224</v>
      </c>
      <c r="F5" s="1">
        <v>80</v>
      </c>
      <c r="G5" s="23" t="s">
        <v>1178</v>
      </c>
      <c r="H5" s="1" t="s">
        <v>1177</v>
      </c>
      <c r="I5" s="25"/>
      <c r="J5" s="1">
        <v>1</v>
      </c>
      <c r="K5" s="1"/>
      <c r="L5" s="1"/>
      <c r="M5" s="1"/>
    </row>
    <row r="6" spans="2:13">
      <c r="B6" s="1" t="s">
        <v>1231</v>
      </c>
      <c r="C6" s="1" t="s">
        <v>1229</v>
      </c>
      <c r="D6" s="1"/>
      <c r="E6" s="1" t="s">
        <v>1224</v>
      </c>
      <c r="F6" s="1">
        <v>80</v>
      </c>
      <c r="G6" s="23" t="s">
        <v>1178</v>
      </c>
      <c r="H6" s="1" t="s">
        <v>1177</v>
      </c>
      <c r="I6" s="25"/>
      <c r="J6" s="1">
        <v>1</v>
      </c>
      <c r="K6" s="1"/>
      <c r="L6" s="1"/>
      <c r="M6" s="1"/>
    </row>
    <row r="7" spans="2:13">
      <c r="B7" s="1" t="s">
        <v>1232</v>
      </c>
      <c r="C7" s="1" t="s">
        <v>1230</v>
      </c>
      <c r="D7" s="1"/>
      <c r="E7" s="1" t="s">
        <v>1224</v>
      </c>
      <c r="F7" s="1">
        <v>80</v>
      </c>
      <c r="G7" s="23" t="s">
        <v>1178</v>
      </c>
      <c r="H7" s="1" t="s">
        <v>1177</v>
      </c>
      <c r="I7" s="25"/>
      <c r="J7" s="1">
        <v>1</v>
      </c>
      <c r="K7" s="1"/>
      <c r="L7" s="1"/>
      <c r="M7" s="1"/>
    </row>
    <row r="8" spans="2:13">
      <c r="B8" s="1" t="s">
        <v>1233</v>
      </c>
      <c r="C8" s="1" t="s">
        <v>1236</v>
      </c>
      <c r="D8" s="1"/>
      <c r="E8" s="1" t="s">
        <v>1179</v>
      </c>
      <c r="F8" s="1">
        <v>160</v>
      </c>
      <c r="G8" s="23" t="s">
        <v>1178</v>
      </c>
      <c r="H8" s="1" t="s">
        <v>1177</v>
      </c>
      <c r="I8" s="25"/>
      <c r="J8" s="1">
        <v>1</v>
      </c>
      <c r="K8" s="1"/>
      <c r="L8" s="1"/>
      <c r="M8" s="1"/>
    </row>
    <row r="9" spans="2:13">
      <c r="B9" s="1" t="s">
        <v>1234</v>
      </c>
      <c r="C9" s="1" t="s">
        <v>1235</v>
      </c>
      <c r="D9" s="1"/>
      <c r="E9" s="1" t="s">
        <v>1179</v>
      </c>
      <c r="F9" s="1">
        <v>160</v>
      </c>
      <c r="G9" s="23" t="s">
        <v>1178</v>
      </c>
      <c r="H9" s="1" t="s">
        <v>1177</v>
      </c>
      <c r="I9" s="25"/>
      <c r="J9" s="1">
        <v>1</v>
      </c>
      <c r="K9" s="1"/>
      <c r="L9" s="1"/>
      <c r="M9" s="1"/>
    </row>
    <row r="10" spans="2:13">
      <c r="B10" s="1" t="s">
        <v>1180</v>
      </c>
      <c r="C10" s="1" t="s">
        <v>1237</v>
      </c>
      <c r="D10" s="1"/>
      <c r="E10" s="1" t="s">
        <v>1181</v>
      </c>
      <c r="F10" s="1">
        <v>160</v>
      </c>
      <c r="G10" s="23" t="s">
        <v>1178</v>
      </c>
      <c r="H10" s="1" t="s">
        <v>1177</v>
      </c>
      <c r="I10" s="25"/>
      <c r="J10" s="1">
        <v>1</v>
      </c>
      <c r="K10" s="1"/>
      <c r="L10" s="1"/>
      <c r="M10" s="1"/>
    </row>
    <row r="11" spans="2:13">
      <c r="B11" s="1" t="s">
        <v>1182</v>
      </c>
      <c r="C11" s="1" t="s">
        <v>1237</v>
      </c>
      <c r="D11" s="1"/>
      <c r="E11" s="1" t="s">
        <v>1181</v>
      </c>
      <c r="F11" s="1">
        <v>160</v>
      </c>
      <c r="G11" s="23" t="s">
        <v>1178</v>
      </c>
      <c r="H11" s="1" t="s">
        <v>1177</v>
      </c>
      <c r="I11" s="25"/>
      <c r="J11" s="1">
        <v>1</v>
      </c>
      <c r="K11" s="1"/>
      <c r="L11" s="1"/>
      <c r="M11" s="1"/>
    </row>
    <row r="12" spans="2:13">
      <c r="B12" s="1" t="s">
        <v>1183</v>
      </c>
      <c r="C12" s="1" t="s">
        <v>1237</v>
      </c>
      <c r="D12" s="1"/>
      <c r="E12" s="1" t="s">
        <v>1179</v>
      </c>
      <c r="F12" s="1">
        <v>160</v>
      </c>
      <c r="G12" s="23" t="s">
        <v>1178</v>
      </c>
      <c r="H12" s="1" t="s">
        <v>1177</v>
      </c>
      <c r="I12" s="25"/>
      <c r="J12" s="1">
        <v>1</v>
      </c>
      <c r="K12" s="1"/>
      <c r="L12" s="1"/>
      <c r="M12" s="1"/>
    </row>
    <row r="13" spans="2:13">
      <c r="B13" s="1" t="s">
        <v>1184</v>
      </c>
      <c r="C13" s="1" t="s">
        <v>1237</v>
      </c>
      <c r="D13" s="1"/>
      <c r="E13" s="1" t="s">
        <v>1179</v>
      </c>
      <c r="F13" s="1">
        <v>160</v>
      </c>
      <c r="G13" s="23" t="s">
        <v>1178</v>
      </c>
      <c r="H13" s="1" t="s">
        <v>1177</v>
      </c>
      <c r="I13" s="25"/>
      <c r="J13" s="1">
        <v>1</v>
      </c>
      <c r="K13" s="1"/>
      <c r="L13" s="1"/>
      <c r="M13" s="1"/>
    </row>
    <row r="14" spans="2:13">
      <c r="B14" s="1"/>
      <c r="C14" s="1"/>
      <c r="D14" s="1"/>
      <c r="E14" s="1"/>
      <c r="F14" s="1"/>
      <c r="G14" s="23"/>
      <c r="H14" s="1"/>
      <c r="I14" s="25"/>
      <c r="J14" s="1"/>
      <c r="K14" s="1"/>
      <c r="L14" s="1"/>
      <c r="M14" s="1"/>
    </row>
    <row r="15" spans="2:13">
      <c r="B15" s="1"/>
      <c r="C15" s="1"/>
      <c r="D15" s="1"/>
      <c r="E15" s="1"/>
      <c r="F15" s="1"/>
      <c r="G15" s="23"/>
      <c r="H15" s="1"/>
      <c r="I15" s="25"/>
      <c r="J15" s="1"/>
      <c r="K15" s="1"/>
      <c r="L15" s="1"/>
      <c r="M15" s="1"/>
    </row>
    <row r="16" spans="2:13">
      <c r="B16" s="1"/>
      <c r="C16" s="1"/>
      <c r="D16" s="1"/>
      <c r="E16" s="1"/>
      <c r="F16" s="1"/>
      <c r="G16" s="23"/>
      <c r="H16" s="1"/>
      <c r="I16" s="25"/>
      <c r="J16" s="1"/>
      <c r="K16" s="1"/>
      <c r="L16" s="1"/>
      <c r="M16" s="1"/>
    </row>
    <row r="17" spans="2:13">
      <c r="B17" s="1"/>
      <c r="C17" s="1"/>
      <c r="D17" s="1"/>
      <c r="E17" s="1"/>
      <c r="F17" s="1"/>
      <c r="G17" s="23"/>
      <c r="H17" s="1"/>
      <c r="I17" s="25"/>
      <c r="J17" s="1"/>
      <c r="K17" s="1"/>
      <c r="L17" s="1"/>
      <c r="M17" s="1"/>
    </row>
    <row r="18" spans="2:13">
      <c r="B18" s="1"/>
      <c r="C18" s="1"/>
      <c r="D18" s="1"/>
      <c r="E18" s="1"/>
      <c r="F18" s="1"/>
      <c r="G18" s="23"/>
      <c r="H18" s="1"/>
      <c r="I18" s="25"/>
      <c r="J18" s="1"/>
      <c r="K18" s="1"/>
      <c r="L18" s="1"/>
      <c r="M18" s="1"/>
    </row>
    <row r="19" spans="2:13">
      <c r="B19" s="1"/>
      <c r="C19" s="1"/>
      <c r="D19" s="1"/>
      <c r="E19" s="1"/>
      <c r="F19" s="1"/>
      <c r="G19" s="23"/>
      <c r="H19" s="1"/>
      <c r="I19" s="25"/>
      <c r="J19" s="1"/>
      <c r="K19" s="1"/>
      <c r="L19" s="1"/>
      <c r="M19" s="1"/>
    </row>
    <row r="20" spans="2:13">
      <c r="B20" s="1"/>
      <c r="C20" s="1"/>
      <c r="D20" s="1"/>
      <c r="E20" s="1"/>
      <c r="F20" s="1"/>
      <c r="G20" s="23"/>
      <c r="H20" s="1"/>
      <c r="I20" s="25"/>
      <c r="J20" s="1"/>
      <c r="K20" s="1"/>
      <c r="L20" s="1"/>
      <c r="M20" s="1"/>
    </row>
    <row r="21" spans="2:13">
      <c r="B21" s="1"/>
      <c r="C21" s="1"/>
      <c r="D21" s="1"/>
      <c r="E21" s="1"/>
      <c r="F21" s="1"/>
      <c r="G21" s="23"/>
      <c r="H21" s="1"/>
      <c r="I21" s="25"/>
      <c r="J21" s="1"/>
      <c r="K21" s="1"/>
      <c r="L21" s="1"/>
      <c r="M21" s="1"/>
    </row>
    <row r="22" spans="2:13">
      <c r="B22" s="1"/>
      <c r="C22" s="1"/>
      <c r="D22" s="1"/>
      <c r="E22" s="1"/>
      <c r="F22" s="1"/>
      <c r="G22" s="23"/>
      <c r="H22" s="1"/>
      <c r="I22" s="25"/>
      <c r="J22" s="1"/>
      <c r="K22" s="1"/>
      <c r="L22" s="1"/>
      <c r="M22" s="1"/>
    </row>
    <row r="23" spans="2:13">
      <c r="B23" s="1"/>
      <c r="C23" s="1"/>
      <c r="D23" s="1"/>
      <c r="E23" s="1"/>
      <c r="F23" s="1"/>
      <c r="G23" s="23"/>
      <c r="H23" s="1"/>
      <c r="I23" s="25"/>
      <c r="J23" s="1"/>
      <c r="K23" s="1"/>
      <c r="L23" s="1"/>
      <c r="M23" s="1"/>
    </row>
    <row r="24" spans="2:13">
      <c r="B24" s="1"/>
      <c r="C24" s="1"/>
      <c r="D24" s="1"/>
      <c r="E24" s="1"/>
      <c r="F24" s="1"/>
      <c r="G24" s="23"/>
      <c r="H24" s="1"/>
      <c r="I24" s="25"/>
      <c r="J24" s="1"/>
      <c r="K24" s="1"/>
      <c r="L24" s="1"/>
      <c r="M24" s="1"/>
    </row>
    <row r="29" spans="2:13">
      <c r="C29" t="s">
        <v>1185</v>
      </c>
    </row>
    <row r="31" spans="2:13">
      <c r="C31" t="s">
        <v>1186</v>
      </c>
      <c r="D31" t="s">
        <v>1187</v>
      </c>
    </row>
    <row r="33" spans="3:4">
      <c r="C33" t="s">
        <v>1188</v>
      </c>
      <c r="D33" t="s">
        <v>1187</v>
      </c>
    </row>
  </sheetData>
  <pageMargins left="0.69930555555555596" right="0.69930555555555596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245"/>
  <sheetViews>
    <sheetView showGridLines="0" tabSelected="1" zoomScale="90" zoomScaleNormal="90" workbookViewId="0">
      <selection activeCell="K3" sqref="K3"/>
    </sheetView>
  </sheetViews>
  <sheetFormatPr defaultColWidth="6.3984375" defaultRowHeight="15.75"/>
  <cols>
    <col min="1" max="1" width="2.86328125" style="83" bestFit="1" customWidth="1"/>
    <col min="2" max="2" width="6.06640625" style="83" bestFit="1" customWidth="1"/>
    <col min="3" max="3" width="4.46484375" style="83" bestFit="1" customWidth="1"/>
    <col min="4" max="4" width="5.33203125" style="83" bestFit="1" customWidth="1"/>
    <col min="5" max="5" width="5.46484375" style="83" bestFit="1" customWidth="1"/>
    <col min="6" max="6" width="4.46484375" style="83" bestFit="1" customWidth="1"/>
    <col min="7" max="7" width="4" style="83" bestFit="1" customWidth="1"/>
    <col min="8" max="8" width="5.33203125" style="83" bestFit="1" customWidth="1"/>
    <col min="9" max="9" width="5.46484375" style="83" bestFit="1" customWidth="1"/>
    <col min="10" max="11" width="5.33203125" style="83" bestFit="1" customWidth="1"/>
    <col min="12" max="12" width="5.46484375" style="83" bestFit="1" customWidth="1"/>
    <col min="13" max="13" width="5" style="83" bestFit="1" customWidth="1"/>
    <col min="14" max="14" width="5.46484375" style="83" bestFit="1" customWidth="1"/>
    <col min="15" max="15" width="11" style="83" bestFit="1" customWidth="1"/>
    <col min="16" max="16" width="3.1328125" style="83" bestFit="1" customWidth="1"/>
    <col min="17" max="17" width="5.33203125" style="83" bestFit="1" customWidth="1"/>
    <col min="18" max="19" width="5.46484375" style="83" bestFit="1" customWidth="1"/>
    <col min="20" max="20" width="11" style="83" bestFit="1" customWidth="1"/>
    <col min="21" max="21" width="5.46484375" style="83" bestFit="1" customWidth="1"/>
    <col min="22" max="22" width="11" style="83" bestFit="1" customWidth="1"/>
    <col min="23" max="23" width="5" style="83" bestFit="1" customWidth="1"/>
    <col min="24" max="24" width="5.46484375" style="83" bestFit="1" customWidth="1"/>
    <col min="25" max="25" width="5.33203125" style="83" bestFit="1" customWidth="1"/>
    <col min="26" max="16384" width="6.3984375" style="83"/>
  </cols>
  <sheetData>
    <row r="1" spans="2:25" ht="21">
      <c r="B1" s="384" t="s">
        <v>1852</v>
      </c>
      <c r="C1" s="384"/>
      <c r="D1" s="384"/>
      <c r="E1" s="384"/>
      <c r="F1" s="384"/>
      <c r="G1" s="384"/>
      <c r="H1" s="384"/>
      <c r="I1" s="382"/>
      <c r="J1" s="382"/>
      <c r="K1" s="382"/>
      <c r="L1" s="382"/>
      <c r="M1" s="382"/>
      <c r="N1" s="382"/>
      <c r="O1" s="382"/>
      <c r="P1" s="382"/>
      <c r="Q1" s="382"/>
      <c r="R1" s="382"/>
      <c r="S1" s="382"/>
      <c r="T1" s="382"/>
      <c r="U1" s="382"/>
      <c r="V1" s="382"/>
      <c r="W1" s="382"/>
      <c r="X1" s="382"/>
      <c r="Y1" s="382"/>
    </row>
    <row r="2" spans="2:25">
      <c r="B2" s="354"/>
      <c r="C2" s="354">
        <v>2</v>
      </c>
      <c r="D2" s="354">
        <v>3</v>
      </c>
      <c r="E2" s="354">
        <v>4</v>
      </c>
      <c r="F2" s="354">
        <v>5</v>
      </c>
      <c r="G2" s="354">
        <v>6</v>
      </c>
      <c r="H2" s="354">
        <v>7</v>
      </c>
      <c r="I2" s="354">
        <v>8</v>
      </c>
      <c r="J2" s="354">
        <v>9</v>
      </c>
      <c r="K2" s="354">
        <v>10</v>
      </c>
      <c r="L2" s="354">
        <v>11</v>
      </c>
      <c r="M2" s="354">
        <v>12</v>
      </c>
      <c r="N2" s="354">
        <v>13</v>
      </c>
      <c r="O2" s="354">
        <v>14</v>
      </c>
      <c r="P2" s="354">
        <v>15</v>
      </c>
      <c r="Q2" s="354">
        <v>16</v>
      </c>
      <c r="R2" s="354">
        <v>17</v>
      </c>
      <c r="S2" s="354">
        <v>18</v>
      </c>
      <c r="T2" s="354">
        <v>19</v>
      </c>
      <c r="U2" s="354">
        <v>20</v>
      </c>
      <c r="V2" s="354">
        <v>21</v>
      </c>
      <c r="W2" s="354">
        <v>22</v>
      </c>
      <c r="X2" s="354">
        <v>23</v>
      </c>
      <c r="Y2" s="355"/>
    </row>
    <row r="3" spans="2:25" s="80" customFormat="1" ht="101.25" customHeight="1">
      <c r="B3" s="356" t="s">
        <v>788</v>
      </c>
      <c r="C3" s="356" t="s">
        <v>789</v>
      </c>
      <c r="D3" s="356" t="s">
        <v>790</v>
      </c>
      <c r="E3" s="356" t="s">
        <v>791</v>
      </c>
      <c r="F3" s="356" t="s">
        <v>792</v>
      </c>
      <c r="G3" s="356" t="s">
        <v>793</v>
      </c>
      <c r="H3" s="356" t="s">
        <v>794</v>
      </c>
      <c r="I3" s="356" t="s">
        <v>795</v>
      </c>
      <c r="J3" s="356" t="s">
        <v>796</v>
      </c>
      <c r="K3" s="356" t="s">
        <v>797</v>
      </c>
      <c r="L3" s="356" t="s">
        <v>798</v>
      </c>
      <c r="M3" s="356" t="s">
        <v>799</v>
      </c>
      <c r="N3" s="356" t="s">
        <v>800</v>
      </c>
      <c r="O3" s="356" t="s">
        <v>801</v>
      </c>
      <c r="P3" s="356" t="s">
        <v>802</v>
      </c>
      <c r="Q3" s="356" t="s">
        <v>803</v>
      </c>
      <c r="R3" s="356" t="s">
        <v>804</v>
      </c>
      <c r="S3" s="356" t="s">
        <v>805</v>
      </c>
      <c r="T3" s="356" t="s">
        <v>806</v>
      </c>
      <c r="U3" s="356" t="s">
        <v>807</v>
      </c>
      <c r="V3" s="356" t="s">
        <v>808</v>
      </c>
      <c r="W3" s="356" t="s">
        <v>809</v>
      </c>
      <c r="X3" s="356" t="s">
        <v>810</v>
      </c>
      <c r="Y3" s="357"/>
    </row>
    <row r="4" spans="2:25">
      <c r="B4" s="354">
        <v>6</v>
      </c>
      <c r="C4" s="354">
        <f>1/60*6</f>
        <v>0.1</v>
      </c>
      <c r="D4" s="354">
        <v>0.25</v>
      </c>
      <c r="E4" s="354">
        <v>0.15</v>
      </c>
      <c r="F4" s="354">
        <v>0.5</v>
      </c>
      <c r="G4" s="354">
        <v>0.5</v>
      </c>
      <c r="H4" s="354">
        <v>2</v>
      </c>
      <c r="I4" s="354">
        <v>0.25</v>
      </c>
      <c r="J4" s="354">
        <v>0.5</v>
      </c>
      <c r="K4" s="354">
        <v>1</v>
      </c>
      <c r="L4" s="354">
        <v>0.5</v>
      </c>
      <c r="M4" s="358">
        <f>IF($B4=6,0.45*2,IF($B4=8,0.68*2,IF($B4=10,0.94*2,IF($B4=12,1.25*2,IF($B4=14,1.61*2,IF($B4=16,2.01*2,IF($B4=18,2.45*2,IF($B4=20,3.1*2,IF($B4=22,3.47*2,IF($B4=24,4.34*2,IF($B4=25,4.34*2,IF($B4=26,4.66*2,IF($B4=28,5.32*2,IF($B4=30,6.03*2,IF($B4=32,6.78*2)))))))))))))))</f>
        <v>0.9</v>
      </c>
      <c r="N4" s="354">
        <v>0.5</v>
      </c>
      <c r="O4" s="354">
        <v>0.5</v>
      </c>
      <c r="P4" s="354">
        <v>1</v>
      </c>
      <c r="Q4" s="354">
        <v>1</v>
      </c>
      <c r="R4" s="358">
        <f>IF($B4=6,0.45*2,IF($B4=8,0.68*2,IF($B4=10,0.94*2,IF($B4=12,1.25*2,IF($B4=14,1.61*2,IF($B4=16,2.01*2,IF($B4=18,2.45*2,IF($B4=20,3.1*2,IF($B4=22,3.47*2,IF($B4=24,4.34*2,IF($B4=25,4.34*2,IF($B4=26,4.66*2,IF($B4=28,5.32*2,IF($B4=30,6.03*2,IF($B4=32,6.78*2)))))))))))))))</f>
        <v>0.9</v>
      </c>
      <c r="S4" s="354">
        <v>1</v>
      </c>
      <c r="T4" s="358">
        <f>IF($B4=6,0.45*2,IF($B4=8,0.68*2,IF($B4=10,0.94*2,IF($B4=12,1.25*2,IF($B4=14,1.61*2,IF($B4=16,2.01*2,IF($B4=18,2.45*2,IF($B4=20,3.1*2,IF($B4=22,3.47*2,IF($B4=24,4.34*2,IF($B4=25,4.34*2,IF($B4=26,4.66*2,IF($B4=28,5.32*2,IF($B4=30,6.03*2,IF($B4=32,6.78*2)))))))))))))))</f>
        <v>0.9</v>
      </c>
      <c r="U4" s="354">
        <v>0.5</v>
      </c>
      <c r="V4" s="354">
        <v>1</v>
      </c>
      <c r="W4" s="358">
        <f>IF($B4=6,0.3*2,IF($B4=8,0.4*2,IF($B4=10,0.6*2,IF($B4=12,0.8*2,IF($B4=14,1.1*2,IF($B4=16,1.4*2,IF($B4=18,1.7*2,IF($B4=20,2*2,IF($B4=22,2.4*2,IF($B4=24,2.8*2,IF($B4=25,3*2,IF($B4=26,3.7*2,IF($B4=28,3.7*2,IF($B4=30,4.2*2,IF($B4=32,4.7*2)))))))))))))))</f>
        <v>0.6</v>
      </c>
      <c r="X4" s="358">
        <f>IF($B4=6,0.3*2,IF($B4=8,0.4*2,IF($B4=10,0.6*2,IF($B4=12,0.8*2,IF($B4=14,1.1*2,IF($B4=16,1.4*2,IF($B4=18,1.7*2,IF($B4=20,2*2,IF($B4=22,2.4*2,IF($B4=24,2.8*2,IF($B4=25,3*2,IF($B4=26,3.7*2,IF($B4=28,3.7*2,IF($B4=30,4.2*2,IF($B4=32,4.7*2)))))))))))))))*2</f>
        <v>1.2</v>
      </c>
      <c r="Y4" s="355"/>
    </row>
    <row r="5" spans="2:25">
      <c r="B5" s="354">
        <v>8</v>
      </c>
      <c r="C5" s="354">
        <f t="shared" ref="C5:C19" si="0">1/60*6</f>
        <v>0.1</v>
      </c>
      <c r="D5" s="354">
        <v>0.25</v>
      </c>
      <c r="E5" s="354">
        <v>0.15</v>
      </c>
      <c r="F5" s="354">
        <v>0.5</v>
      </c>
      <c r="G5" s="354">
        <v>0.5</v>
      </c>
      <c r="H5" s="354">
        <v>2</v>
      </c>
      <c r="I5" s="354">
        <v>0.25</v>
      </c>
      <c r="J5" s="354">
        <v>0.5</v>
      </c>
      <c r="K5" s="354">
        <v>1</v>
      </c>
      <c r="L5" s="354">
        <v>0.5</v>
      </c>
      <c r="M5" s="358">
        <f t="shared" ref="M5:M15" si="1">IF(B5=6,0.45*2,IF(B5=8,0.68*2,IF(B5=10,0.94*2,IF(B5=12,1.25*2,IF(B5=14,1.61*2,IF(B5=16,2.01*2,IF(B5=18,2.45*2,IF(B5=20,3.1*2,IF(B5=22,3.47*2,IF(B5=24,4.34*2,IF(B5=25,4.34*2,IF(B5=26,4.66*2,IF(B5=28,5.32*2,IF(B5=30,6.03*2,IF(B5=32,6.78*2)))))))))))))))</f>
        <v>1.36</v>
      </c>
      <c r="N5" s="354">
        <v>0.5</v>
      </c>
      <c r="O5" s="354">
        <v>0.5</v>
      </c>
      <c r="P5" s="354">
        <v>1</v>
      </c>
      <c r="Q5" s="354">
        <v>1</v>
      </c>
      <c r="R5" s="358">
        <f t="shared" ref="R5:T19" si="2">IF($B5=6,0.45*2,IF($B5=8,0.68*2,IF($B5=10,0.94*2,IF($B5=12,1.25*2,IF($B5=14,1.61*2,IF($B5=16,2.01*2,IF($B5=18,2.45*2,IF($B5=20,3.1*2,IF($B5=22,3.47*2,IF($B5=24,4.34*2,IF($B5=25,4.34*2,IF($B5=26,4.66*2,IF($B5=28,5.32*2,IF($B5=30,6.03*2,IF($B5=32,6.78*2)))))))))))))))</f>
        <v>1.36</v>
      </c>
      <c r="S5" s="354">
        <v>1</v>
      </c>
      <c r="T5" s="358">
        <f t="shared" si="2"/>
        <v>1.36</v>
      </c>
      <c r="U5" s="354">
        <v>0.5</v>
      </c>
      <c r="V5" s="354">
        <v>1</v>
      </c>
      <c r="W5" s="358">
        <f t="shared" ref="W5:W19" si="3">IF($B5=6,0.3*2,IF($B5=8,0.4*2,IF($B5=10,0.6*2,IF($B5=12,0.8*2,IF($B5=14,1.1*2,IF($B5=16,1.4*2,IF($B5=18,1.7*2,IF($B5=20,2*2,IF($B5=22,2.4*2,IF($B5=24,2.8*2,IF($B5=25,3*2,IF($B5=26,3.7*2,IF($B5=28,3.7*2,IF($B5=30,4.2*2,IF($B5=32,4.7*2)))))))))))))))</f>
        <v>0.8</v>
      </c>
      <c r="X5" s="358">
        <f t="shared" ref="X5:X19" si="4">IF($B5=6,0.3*2,IF($B5=8,0.4*2,IF($B5=10,0.6*2,IF($B5=12,0.8*2,IF($B5=14,1.1*2,IF($B5=16,1.4*2,IF($B5=18,1.7*2,IF($B5=20,2*2,IF($B5=22,2.4*2,IF($B5=24,2.8*2,IF($B5=25,3*2,IF($B5=26,3.7*2,IF($B5=28,3.7*2,IF($B5=30,4.2*2,IF($B5=32,4.7*2)))))))))))))))*2</f>
        <v>1.6</v>
      </c>
      <c r="Y5" s="355"/>
    </row>
    <row r="6" spans="2:25">
      <c r="B6" s="354">
        <v>10</v>
      </c>
      <c r="C6" s="354">
        <f t="shared" si="0"/>
        <v>0.1</v>
      </c>
      <c r="D6" s="354">
        <v>0.25</v>
      </c>
      <c r="E6" s="354">
        <v>0.15</v>
      </c>
      <c r="F6" s="354">
        <v>0.5</v>
      </c>
      <c r="G6" s="354">
        <v>0.5</v>
      </c>
      <c r="H6" s="354">
        <v>2</v>
      </c>
      <c r="I6" s="354">
        <v>0.25</v>
      </c>
      <c r="J6" s="354">
        <v>0.5</v>
      </c>
      <c r="K6" s="354">
        <v>1</v>
      </c>
      <c r="L6" s="354">
        <v>0.5</v>
      </c>
      <c r="M6" s="358">
        <f t="shared" si="1"/>
        <v>1.88</v>
      </c>
      <c r="N6" s="354">
        <v>0.5</v>
      </c>
      <c r="O6" s="354">
        <v>0.5</v>
      </c>
      <c r="P6" s="354">
        <v>1</v>
      </c>
      <c r="Q6" s="354">
        <v>1</v>
      </c>
      <c r="R6" s="358">
        <f t="shared" si="2"/>
        <v>1.88</v>
      </c>
      <c r="S6" s="354">
        <v>1</v>
      </c>
      <c r="T6" s="358">
        <f t="shared" si="2"/>
        <v>1.88</v>
      </c>
      <c r="U6" s="354">
        <v>0.5</v>
      </c>
      <c r="V6" s="354">
        <v>2</v>
      </c>
      <c r="W6" s="358">
        <f t="shared" si="3"/>
        <v>1.2</v>
      </c>
      <c r="X6" s="358">
        <f t="shared" si="4"/>
        <v>2.4</v>
      </c>
      <c r="Y6" s="355"/>
    </row>
    <row r="7" spans="2:25">
      <c r="B7" s="354">
        <v>12</v>
      </c>
      <c r="C7" s="354">
        <f t="shared" si="0"/>
        <v>0.1</v>
      </c>
      <c r="D7" s="354">
        <v>0.25</v>
      </c>
      <c r="E7" s="354">
        <v>0.15</v>
      </c>
      <c r="F7" s="354">
        <v>0.5</v>
      </c>
      <c r="G7" s="354">
        <v>1</v>
      </c>
      <c r="H7" s="354">
        <v>2</v>
      </c>
      <c r="I7" s="354">
        <v>0.3</v>
      </c>
      <c r="J7" s="354">
        <v>1</v>
      </c>
      <c r="K7" s="354">
        <v>1</v>
      </c>
      <c r="L7" s="354">
        <v>0.5</v>
      </c>
      <c r="M7" s="358">
        <f t="shared" si="1"/>
        <v>2.5</v>
      </c>
      <c r="N7" s="354">
        <v>0.45</v>
      </c>
      <c r="O7" s="354">
        <v>0.5</v>
      </c>
      <c r="P7" s="354">
        <v>1</v>
      </c>
      <c r="Q7" s="354">
        <v>1</v>
      </c>
      <c r="R7" s="358">
        <f t="shared" si="2"/>
        <v>2.5</v>
      </c>
      <c r="S7" s="354">
        <v>1</v>
      </c>
      <c r="T7" s="358">
        <f t="shared" si="2"/>
        <v>2.5</v>
      </c>
      <c r="U7" s="354">
        <v>0.5</v>
      </c>
      <c r="V7" s="354">
        <v>2</v>
      </c>
      <c r="W7" s="358">
        <f t="shared" si="3"/>
        <v>1.6</v>
      </c>
      <c r="X7" s="358">
        <f t="shared" si="4"/>
        <v>3.2</v>
      </c>
      <c r="Y7" s="355"/>
    </row>
    <row r="8" spans="2:25">
      <c r="B8" s="354">
        <v>14</v>
      </c>
      <c r="C8" s="354">
        <f t="shared" si="0"/>
        <v>0.1</v>
      </c>
      <c r="D8" s="354">
        <v>0.25</v>
      </c>
      <c r="E8" s="354">
        <v>0.15</v>
      </c>
      <c r="F8" s="354">
        <v>0.5</v>
      </c>
      <c r="G8" s="354">
        <v>1</v>
      </c>
      <c r="H8" s="354">
        <v>2</v>
      </c>
      <c r="I8" s="354">
        <v>0.3</v>
      </c>
      <c r="J8" s="354">
        <v>1</v>
      </c>
      <c r="K8" s="354">
        <v>1</v>
      </c>
      <c r="L8" s="354">
        <v>0.5</v>
      </c>
      <c r="M8" s="358">
        <f t="shared" si="1"/>
        <v>3.22</v>
      </c>
      <c r="N8" s="354">
        <v>0.45</v>
      </c>
      <c r="O8" s="354">
        <v>0.5</v>
      </c>
      <c r="P8" s="354">
        <v>1</v>
      </c>
      <c r="Q8" s="354">
        <v>1</v>
      </c>
      <c r="R8" s="358">
        <f t="shared" si="2"/>
        <v>3.22</v>
      </c>
      <c r="S8" s="354">
        <v>1</v>
      </c>
      <c r="T8" s="358">
        <f t="shared" si="2"/>
        <v>3.22</v>
      </c>
      <c r="U8" s="354">
        <v>0.5</v>
      </c>
      <c r="V8" s="354">
        <v>2</v>
      </c>
      <c r="W8" s="358">
        <f t="shared" si="3"/>
        <v>2.2000000000000002</v>
      </c>
      <c r="X8" s="358">
        <f t="shared" si="4"/>
        <v>4.4000000000000004</v>
      </c>
      <c r="Y8" s="355"/>
    </row>
    <row r="9" spans="2:25">
      <c r="B9" s="354">
        <v>16</v>
      </c>
      <c r="C9" s="354">
        <f t="shared" si="0"/>
        <v>0.1</v>
      </c>
      <c r="D9" s="354">
        <v>0.25</v>
      </c>
      <c r="E9" s="354">
        <v>0.15</v>
      </c>
      <c r="F9" s="354">
        <v>0.5</v>
      </c>
      <c r="G9" s="354">
        <v>1</v>
      </c>
      <c r="H9" s="354">
        <v>2</v>
      </c>
      <c r="I9" s="354">
        <v>0.3</v>
      </c>
      <c r="J9" s="354">
        <v>1</v>
      </c>
      <c r="K9" s="354">
        <v>1</v>
      </c>
      <c r="L9" s="354">
        <v>1</v>
      </c>
      <c r="M9" s="358">
        <f t="shared" si="1"/>
        <v>4.0199999999999996</v>
      </c>
      <c r="N9" s="354">
        <v>0.45</v>
      </c>
      <c r="O9" s="354">
        <v>0.5</v>
      </c>
      <c r="P9" s="354">
        <v>1</v>
      </c>
      <c r="Q9" s="354">
        <v>1</v>
      </c>
      <c r="R9" s="358">
        <f t="shared" si="2"/>
        <v>4.0199999999999996</v>
      </c>
      <c r="S9" s="354">
        <v>1</v>
      </c>
      <c r="T9" s="358">
        <f t="shared" si="2"/>
        <v>4.0199999999999996</v>
      </c>
      <c r="U9" s="354">
        <v>0.5</v>
      </c>
      <c r="V9" s="354">
        <v>2</v>
      </c>
      <c r="W9" s="358">
        <f t="shared" si="3"/>
        <v>2.8</v>
      </c>
      <c r="X9" s="358">
        <f t="shared" si="4"/>
        <v>5.6</v>
      </c>
      <c r="Y9" s="355"/>
    </row>
    <row r="10" spans="2:25">
      <c r="B10" s="354">
        <v>18</v>
      </c>
      <c r="C10" s="354">
        <f t="shared" si="0"/>
        <v>0.1</v>
      </c>
      <c r="D10" s="354">
        <v>0.25</v>
      </c>
      <c r="E10" s="354">
        <v>0.15</v>
      </c>
      <c r="F10" s="354">
        <v>0.5</v>
      </c>
      <c r="G10" s="354">
        <v>1</v>
      </c>
      <c r="H10" s="354">
        <v>2</v>
      </c>
      <c r="I10" s="354">
        <v>0.3</v>
      </c>
      <c r="J10" s="354">
        <v>1</v>
      </c>
      <c r="K10" s="354">
        <v>1</v>
      </c>
      <c r="L10" s="354">
        <v>1</v>
      </c>
      <c r="M10" s="358">
        <f t="shared" si="1"/>
        <v>4.9000000000000004</v>
      </c>
      <c r="N10" s="354">
        <v>0.45</v>
      </c>
      <c r="O10" s="354">
        <v>0.5</v>
      </c>
      <c r="P10" s="354">
        <v>1</v>
      </c>
      <c r="Q10" s="354">
        <v>1</v>
      </c>
      <c r="R10" s="358">
        <f t="shared" si="2"/>
        <v>4.9000000000000004</v>
      </c>
      <c r="S10" s="354">
        <v>1</v>
      </c>
      <c r="T10" s="358">
        <f t="shared" si="2"/>
        <v>4.9000000000000004</v>
      </c>
      <c r="U10" s="354">
        <v>0.5</v>
      </c>
      <c r="V10" s="354">
        <v>2</v>
      </c>
      <c r="W10" s="358">
        <f t="shared" si="3"/>
        <v>3.4</v>
      </c>
      <c r="X10" s="358">
        <f t="shared" si="4"/>
        <v>6.8</v>
      </c>
      <c r="Y10" s="355"/>
    </row>
    <row r="11" spans="2:25">
      <c r="B11" s="354">
        <v>20</v>
      </c>
      <c r="C11" s="354">
        <f t="shared" si="0"/>
        <v>0.1</v>
      </c>
      <c r="D11" s="354">
        <v>0.25</v>
      </c>
      <c r="E11" s="354">
        <v>0.15</v>
      </c>
      <c r="F11" s="354">
        <v>0.5</v>
      </c>
      <c r="G11" s="354">
        <v>1</v>
      </c>
      <c r="H11" s="354">
        <v>2</v>
      </c>
      <c r="I11" s="354">
        <v>0.5</v>
      </c>
      <c r="J11" s="354">
        <v>1</v>
      </c>
      <c r="K11" s="354">
        <v>1</v>
      </c>
      <c r="L11" s="354">
        <v>1</v>
      </c>
      <c r="M11" s="358">
        <f t="shared" si="1"/>
        <v>6.2</v>
      </c>
      <c r="N11" s="354">
        <v>1</v>
      </c>
      <c r="O11" s="354">
        <v>0.5</v>
      </c>
      <c r="P11" s="354">
        <v>1</v>
      </c>
      <c r="Q11" s="354">
        <v>1</v>
      </c>
      <c r="R11" s="358">
        <f t="shared" si="2"/>
        <v>6.2</v>
      </c>
      <c r="S11" s="354">
        <v>1</v>
      </c>
      <c r="T11" s="358">
        <f t="shared" si="2"/>
        <v>6.2</v>
      </c>
      <c r="U11" s="354">
        <v>0.5</v>
      </c>
      <c r="V11" s="354">
        <v>2</v>
      </c>
      <c r="W11" s="358">
        <f t="shared" si="3"/>
        <v>4</v>
      </c>
      <c r="X11" s="358">
        <f t="shared" si="4"/>
        <v>8</v>
      </c>
      <c r="Y11" s="355"/>
    </row>
    <row r="12" spans="2:25">
      <c r="B12" s="354">
        <v>22</v>
      </c>
      <c r="C12" s="354">
        <f t="shared" si="0"/>
        <v>0.1</v>
      </c>
      <c r="D12" s="354">
        <v>0.25</v>
      </c>
      <c r="E12" s="354">
        <v>0.15</v>
      </c>
      <c r="F12" s="354">
        <v>0.5</v>
      </c>
      <c r="G12" s="354">
        <v>1</v>
      </c>
      <c r="H12" s="354">
        <v>2</v>
      </c>
      <c r="I12" s="354">
        <v>0.5</v>
      </c>
      <c r="J12" s="354">
        <v>1</v>
      </c>
      <c r="K12" s="354">
        <v>1</v>
      </c>
      <c r="L12" s="354">
        <v>1</v>
      </c>
      <c r="M12" s="358">
        <f t="shared" si="1"/>
        <v>6.94</v>
      </c>
      <c r="N12" s="354">
        <v>1</v>
      </c>
      <c r="O12" s="354">
        <v>0.5</v>
      </c>
      <c r="P12" s="354">
        <v>1</v>
      </c>
      <c r="Q12" s="354">
        <v>1</v>
      </c>
      <c r="R12" s="358">
        <f t="shared" si="2"/>
        <v>6.94</v>
      </c>
      <c r="S12" s="354">
        <v>1</v>
      </c>
      <c r="T12" s="358">
        <f t="shared" si="2"/>
        <v>6.94</v>
      </c>
      <c r="U12" s="354">
        <v>0.5</v>
      </c>
      <c r="V12" s="354">
        <v>2</v>
      </c>
      <c r="W12" s="358">
        <f t="shared" si="3"/>
        <v>4.8</v>
      </c>
      <c r="X12" s="358">
        <f t="shared" si="4"/>
        <v>9.6</v>
      </c>
      <c r="Y12" s="355"/>
    </row>
    <row r="13" spans="2:25">
      <c r="B13" s="354">
        <v>24</v>
      </c>
      <c r="C13" s="354">
        <f t="shared" si="0"/>
        <v>0.1</v>
      </c>
      <c r="D13" s="354">
        <v>0.25</v>
      </c>
      <c r="E13" s="354">
        <v>0.15</v>
      </c>
      <c r="F13" s="354">
        <v>0.5</v>
      </c>
      <c r="G13" s="354">
        <v>1</v>
      </c>
      <c r="H13" s="354">
        <v>2</v>
      </c>
      <c r="I13" s="354">
        <v>0.5</v>
      </c>
      <c r="J13" s="354">
        <v>1</v>
      </c>
      <c r="K13" s="354">
        <v>1</v>
      </c>
      <c r="L13" s="354">
        <v>1</v>
      </c>
      <c r="M13" s="358">
        <f t="shared" si="1"/>
        <v>8.68</v>
      </c>
      <c r="N13" s="354">
        <v>1</v>
      </c>
      <c r="O13" s="354">
        <v>0.5</v>
      </c>
      <c r="P13" s="354">
        <v>1</v>
      </c>
      <c r="Q13" s="354">
        <v>1</v>
      </c>
      <c r="R13" s="358">
        <f t="shared" si="2"/>
        <v>8.68</v>
      </c>
      <c r="S13" s="354">
        <v>1</v>
      </c>
      <c r="T13" s="358">
        <f t="shared" si="2"/>
        <v>8.68</v>
      </c>
      <c r="U13" s="354">
        <v>0.5</v>
      </c>
      <c r="V13" s="354">
        <v>2</v>
      </c>
      <c r="W13" s="358">
        <f t="shared" si="3"/>
        <v>5.6</v>
      </c>
      <c r="X13" s="358">
        <f t="shared" si="4"/>
        <v>11.2</v>
      </c>
      <c r="Y13" s="355"/>
    </row>
    <row r="14" spans="2:25">
      <c r="B14" s="354">
        <v>25</v>
      </c>
      <c r="C14" s="354">
        <f t="shared" si="0"/>
        <v>0.1</v>
      </c>
      <c r="D14" s="354">
        <v>0.25</v>
      </c>
      <c r="E14" s="354">
        <v>0.15</v>
      </c>
      <c r="F14" s="354">
        <v>0.5</v>
      </c>
      <c r="G14" s="354">
        <v>1</v>
      </c>
      <c r="H14" s="354">
        <v>2</v>
      </c>
      <c r="I14" s="354">
        <v>0.5</v>
      </c>
      <c r="J14" s="354">
        <v>1</v>
      </c>
      <c r="K14" s="354">
        <v>1</v>
      </c>
      <c r="L14" s="354">
        <v>1</v>
      </c>
      <c r="M14" s="358">
        <f t="shared" si="1"/>
        <v>8.68</v>
      </c>
      <c r="N14" s="354">
        <v>1</v>
      </c>
      <c r="O14" s="354">
        <v>0.5</v>
      </c>
      <c r="P14" s="354">
        <v>1</v>
      </c>
      <c r="Q14" s="354">
        <v>1</v>
      </c>
      <c r="R14" s="358">
        <f t="shared" si="2"/>
        <v>8.68</v>
      </c>
      <c r="S14" s="354">
        <v>1</v>
      </c>
      <c r="T14" s="358">
        <f t="shared" si="2"/>
        <v>8.68</v>
      </c>
      <c r="U14" s="354">
        <v>0.5</v>
      </c>
      <c r="V14" s="354">
        <v>2</v>
      </c>
      <c r="W14" s="358">
        <f t="shared" si="3"/>
        <v>6</v>
      </c>
      <c r="X14" s="358">
        <f t="shared" si="4"/>
        <v>12</v>
      </c>
      <c r="Y14" s="355"/>
    </row>
    <row r="15" spans="2:25">
      <c r="B15" s="354">
        <v>28</v>
      </c>
      <c r="C15" s="354">
        <f t="shared" si="0"/>
        <v>0.1</v>
      </c>
      <c r="D15" s="354">
        <v>0.25</v>
      </c>
      <c r="E15" s="354">
        <v>0.15</v>
      </c>
      <c r="F15" s="354">
        <v>0.5</v>
      </c>
      <c r="G15" s="354">
        <v>1</v>
      </c>
      <c r="H15" s="354">
        <v>2</v>
      </c>
      <c r="I15" s="354">
        <v>0.5</v>
      </c>
      <c r="J15" s="354">
        <v>1</v>
      </c>
      <c r="K15" s="354">
        <v>1</v>
      </c>
      <c r="L15" s="354">
        <v>1</v>
      </c>
      <c r="M15" s="358">
        <f t="shared" si="1"/>
        <v>10.64</v>
      </c>
      <c r="N15" s="354">
        <v>1</v>
      </c>
      <c r="O15" s="354">
        <v>0.5</v>
      </c>
      <c r="P15" s="354">
        <v>1</v>
      </c>
      <c r="Q15" s="354">
        <v>1</v>
      </c>
      <c r="R15" s="358">
        <f t="shared" si="2"/>
        <v>10.64</v>
      </c>
      <c r="S15" s="354">
        <v>1</v>
      </c>
      <c r="T15" s="358">
        <f t="shared" si="2"/>
        <v>10.64</v>
      </c>
      <c r="U15" s="354">
        <v>0.5</v>
      </c>
      <c r="V15" s="354">
        <v>2</v>
      </c>
      <c r="W15" s="358">
        <f t="shared" si="3"/>
        <v>7.4</v>
      </c>
      <c r="X15" s="358">
        <f t="shared" si="4"/>
        <v>14.8</v>
      </c>
      <c r="Y15" s="355"/>
    </row>
    <row r="16" spans="2:25">
      <c r="B16" s="354">
        <v>30</v>
      </c>
      <c r="C16" s="354">
        <f t="shared" si="0"/>
        <v>0.1</v>
      </c>
      <c r="D16" s="354">
        <v>0.25</v>
      </c>
      <c r="E16" s="354">
        <v>0.15</v>
      </c>
      <c r="F16" s="354">
        <v>0.5</v>
      </c>
      <c r="G16" s="354">
        <v>1</v>
      </c>
      <c r="H16" s="354">
        <v>2</v>
      </c>
      <c r="I16" s="354">
        <v>0.5</v>
      </c>
      <c r="J16" s="354">
        <v>1</v>
      </c>
      <c r="K16" s="354">
        <v>1</v>
      </c>
      <c r="L16" s="354">
        <v>1</v>
      </c>
      <c r="M16" s="358">
        <f t="shared" ref="M16:M19" si="5">IF(B16=6,0.45*2,IF(B16=8,0.68*2,IF(B16=10,0.94*2,IF(B16=12,1.25*2,IF(B16=14,1.61*2,IF(B16=16,2.01*2,IF(B16=18,2.45*2,IF(B16=20,3.1*2,IF(B16=22,3.47*2,IF(B16=24,4.34*2,IF(B16=25,4.34*2,IF(B16=26,4.66*2,IF(B16=28,5.32*2,IF(B16=30,6.03*2,IF(B16=32,6.78*2)))))))))))))))</f>
        <v>12.06</v>
      </c>
      <c r="N16" s="354">
        <v>1</v>
      </c>
      <c r="O16" s="354">
        <v>0.5</v>
      </c>
      <c r="P16" s="354">
        <v>1</v>
      </c>
      <c r="Q16" s="354">
        <v>1</v>
      </c>
      <c r="R16" s="358">
        <f t="shared" si="2"/>
        <v>12.06</v>
      </c>
      <c r="S16" s="354">
        <v>1</v>
      </c>
      <c r="T16" s="358">
        <f t="shared" si="2"/>
        <v>12.06</v>
      </c>
      <c r="U16" s="354">
        <v>0.5</v>
      </c>
      <c r="V16" s="354">
        <v>2</v>
      </c>
      <c r="W16" s="358">
        <f t="shared" si="3"/>
        <v>8.4</v>
      </c>
      <c r="X16" s="358">
        <f t="shared" si="4"/>
        <v>16.8</v>
      </c>
      <c r="Y16" s="355"/>
    </row>
    <row r="17" spans="1:27">
      <c r="B17" s="354">
        <v>35</v>
      </c>
      <c r="C17" s="354">
        <f t="shared" si="0"/>
        <v>0.1</v>
      </c>
      <c r="D17" s="354">
        <v>0.25</v>
      </c>
      <c r="E17" s="354">
        <v>0.15</v>
      </c>
      <c r="F17" s="354">
        <v>0.5</v>
      </c>
      <c r="G17" s="354">
        <v>1</v>
      </c>
      <c r="H17" s="354">
        <v>2</v>
      </c>
      <c r="I17" s="354">
        <v>0.5</v>
      </c>
      <c r="J17" s="354">
        <v>1</v>
      </c>
      <c r="K17" s="354">
        <v>1</v>
      </c>
      <c r="L17" s="354">
        <v>1</v>
      </c>
      <c r="M17" s="358" t="b">
        <f t="shared" si="5"/>
        <v>0</v>
      </c>
      <c r="N17" s="354">
        <v>1</v>
      </c>
      <c r="O17" s="354">
        <v>0.5</v>
      </c>
      <c r="P17" s="354">
        <v>1</v>
      </c>
      <c r="Q17" s="354">
        <v>1</v>
      </c>
      <c r="R17" s="358" t="b">
        <f t="shared" si="2"/>
        <v>0</v>
      </c>
      <c r="S17" s="354">
        <v>1</v>
      </c>
      <c r="T17" s="358" t="b">
        <f t="shared" si="2"/>
        <v>0</v>
      </c>
      <c r="U17" s="354">
        <v>0.5</v>
      </c>
      <c r="V17" s="354">
        <v>2</v>
      </c>
      <c r="W17" s="358" t="b">
        <f t="shared" si="3"/>
        <v>0</v>
      </c>
      <c r="X17" s="358">
        <f t="shared" si="4"/>
        <v>0</v>
      </c>
      <c r="Y17" s="355"/>
    </row>
    <row r="18" spans="1:27">
      <c r="B18" s="354">
        <v>40</v>
      </c>
      <c r="C18" s="354">
        <f t="shared" si="0"/>
        <v>0.1</v>
      </c>
      <c r="D18" s="354">
        <v>0.25</v>
      </c>
      <c r="E18" s="354">
        <v>0.15</v>
      </c>
      <c r="F18" s="354">
        <v>0.5</v>
      </c>
      <c r="G18" s="354">
        <v>1</v>
      </c>
      <c r="H18" s="354">
        <v>2</v>
      </c>
      <c r="I18" s="354">
        <v>0.5</v>
      </c>
      <c r="J18" s="354">
        <v>1</v>
      </c>
      <c r="K18" s="354">
        <v>1</v>
      </c>
      <c r="L18" s="354">
        <v>1</v>
      </c>
      <c r="M18" s="358" t="b">
        <f t="shared" si="5"/>
        <v>0</v>
      </c>
      <c r="N18" s="354">
        <v>1</v>
      </c>
      <c r="O18" s="354">
        <v>0.5</v>
      </c>
      <c r="P18" s="354">
        <v>1</v>
      </c>
      <c r="Q18" s="354">
        <v>1</v>
      </c>
      <c r="R18" s="358" t="b">
        <f t="shared" si="2"/>
        <v>0</v>
      </c>
      <c r="S18" s="354">
        <v>1</v>
      </c>
      <c r="T18" s="358" t="b">
        <f t="shared" si="2"/>
        <v>0</v>
      </c>
      <c r="U18" s="354">
        <v>0.5</v>
      </c>
      <c r="V18" s="354">
        <v>2</v>
      </c>
      <c r="W18" s="358" t="b">
        <f t="shared" si="3"/>
        <v>0</v>
      </c>
      <c r="X18" s="358">
        <f t="shared" si="4"/>
        <v>0</v>
      </c>
      <c r="Y18" s="355"/>
    </row>
    <row r="19" spans="1:27">
      <c r="B19" s="354">
        <v>50</v>
      </c>
      <c r="C19" s="354">
        <f t="shared" si="0"/>
        <v>0.1</v>
      </c>
      <c r="D19" s="354">
        <v>0.25</v>
      </c>
      <c r="E19" s="354">
        <v>0.15</v>
      </c>
      <c r="F19" s="354">
        <v>0.5</v>
      </c>
      <c r="G19" s="354">
        <v>1</v>
      </c>
      <c r="H19" s="354">
        <v>2</v>
      </c>
      <c r="I19" s="354">
        <v>0.5</v>
      </c>
      <c r="J19" s="354">
        <v>1</v>
      </c>
      <c r="K19" s="354">
        <v>1</v>
      </c>
      <c r="L19" s="354">
        <v>1</v>
      </c>
      <c r="M19" s="358" t="b">
        <f t="shared" si="5"/>
        <v>0</v>
      </c>
      <c r="N19" s="354">
        <v>1</v>
      </c>
      <c r="O19" s="354">
        <v>0.5</v>
      </c>
      <c r="P19" s="354">
        <v>1</v>
      </c>
      <c r="Q19" s="354">
        <v>1</v>
      </c>
      <c r="R19" s="358" t="b">
        <f t="shared" si="2"/>
        <v>0</v>
      </c>
      <c r="S19" s="354">
        <v>1</v>
      </c>
      <c r="T19" s="358" t="b">
        <f t="shared" si="2"/>
        <v>0</v>
      </c>
      <c r="U19" s="354">
        <v>0.5</v>
      </c>
      <c r="V19" s="354">
        <v>2</v>
      </c>
      <c r="W19" s="358" t="b">
        <f t="shared" si="3"/>
        <v>0</v>
      </c>
      <c r="X19" s="358">
        <f t="shared" si="4"/>
        <v>0</v>
      </c>
      <c r="Y19" s="355"/>
    </row>
    <row r="20" spans="1:27" ht="21">
      <c r="B20" s="381" t="s">
        <v>1853</v>
      </c>
      <c r="C20" s="381"/>
      <c r="D20" s="381"/>
      <c r="E20" s="381"/>
      <c r="F20" s="381"/>
      <c r="G20" s="381"/>
      <c r="H20" s="381"/>
      <c r="I20" s="382"/>
      <c r="J20" s="382"/>
      <c r="K20" s="382"/>
      <c r="L20" s="382"/>
      <c r="M20" s="382"/>
      <c r="N20" s="382"/>
      <c r="O20" s="382"/>
      <c r="P20" s="382"/>
      <c r="Q20" s="382"/>
      <c r="R20" s="382"/>
      <c r="S20" s="382"/>
      <c r="T20" s="382"/>
      <c r="U20" s="382"/>
      <c r="V20" s="382"/>
      <c r="W20" s="382"/>
      <c r="X20" s="382"/>
      <c r="Y20" s="382"/>
    </row>
    <row r="21" spans="1:27">
      <c r="B21" s="360"/>
      <c r="C21" s="354">
        <v>2</v>
      </c>
      <c r="D21" s="354">
        <v>3</v>
      </c>
      <c r="E21" s="354">
        <v>4</v>
      </c>
      <c r="F21" s="354">
        <v>5</v>
      </c>
      <c r="G21" s="354">
        <v>6</v>
      </c>
      <c r="H21" s="354">
        <v>7</v>
      </c>
      <c r="I21" s="354">
        <v>8</v>
      </c>
      <c r="J21" s="354">
        <v>9</v>
      </c>
      <c r="K21" s="354">
        <v>10</v>
      </c>
      <c r="L21" s="354">
        <v>11</v>
      </c>
      <c r="M21" s="354">
        <v>12</v>
      </c>
      <c r="N21" s="354">
        <v>13</v>
      </c>
      <c r="O21" s="354">
        <v>14</v>
      </c>
      <c r="P21" s="354">
        <v>15</v>
      </c>
      <c r="Q21" s="354">
        <v>16</v>
      </c>
      <c r="R21" s="354">
        <v>17</v>
      </c>
      <c r="S21" s="354">
        <v>18</v>
      </c>
      <c r="T21" s="355"/>
      <c r="U21" s="355"/>
      <c r="V21" s="355"/>
      <c r="W21" s="355"/>
      <c r="X21" s="355"/>
      <c r="Y21" s="355"/>
    </row>
    <row r="22" spans="1:27" s="81" customFormat="1" ht="74.25" customHeight="1">
      <c r="B22" s="361" t="s">
        <v>811</v>
      </c>
      <c r="C22" s="361" t="s">
        <v>812</v>
      </c>
      <c r="D22" s="361" t="s">
        <v>813</v>
      </c>
      <c r="E22" s="361" t="s">
        <v>814</v>
      </c>
      <c r="F22" s="361" t="s">
        <v>815</v>
      </c>
      <c r="G22" s="361" t="s">
        <v>816</v>
      </c>
      <c r="H22" s="361" t="s">
        <v>817</v>
      </c>
      <c r="I22" s="361" t="s">
        <v>818</v>
      </c>
      <c r="J22" s="361" t="s">
        <v>819</v>
      </c>
      <c r="K22" s="361" t="s">
        <v>820</v>
      </c>
      <c r="L22" s="361" t="s">
        <v>821</v>
      </c>
      <c r="M22" s="361" t="s">
        <v>822</v>
      </c>
      <c r="N22" s="361" t="s">
        <v>823</v>
      </c>
      <c r="O22" s="361" t="s">
        <v>824</v>
      </c>
      <c r="P22" s="361" t="s">
        <v>825</v>
      </c>
      <c r="Q22" s="361" t="s">
        <v>826</v>
      </c>
      <c r="R22" s="361" t="s">
        <v>827</v>
      </c>
      <c r="S22" s="361" t="s">
        <v>828</v>
      </c>
      <c r="T22" s="362"/>
      <c r="U22" s="362"/>
      <c r="V22" s="362"/>
      <c r="W22" s="362"/>
      <c r="X22" s="362"/>
      <c r="Y22" s="362"/>
    </row>
    <row r="23" spans="1:27">
      <c r="A23" s="354" t="s">
        <v>1090</v>
      </c>
      <c r="B23" s="354">
        <v>25</v>
      </c>
      <c r="C23" s="354">
        <v>0.5</v>
      </c>
      <c r="D23" s="354">
        <v>0.5</v>
      </c>
      <c r="E23" s="354">
        <v>0.5</v>
      </c>
      <c r="F23" s="354">
        <v>0.5</v>
      </c>
      <c r="G23" s="354">
        <v>0.5</v>
      </c>
      <c r="H23" s="354">
        <v>0.5</v>
      </c>
      <c r="I23" s="354">
        <v>0.5</v>
      </c>
      <c r="J23" s="354">
        <v>0.5</v>
      </c>
      <c r="K23" s="354">
        <v>0.5</v>
      </c>
      <c r="L23" s="354">
        <v>1</v>
      </c>
      <c r="M23" s="354"/>
      <c r="N23" s="354"/>
      <c r="O23" s="354"/>
      <c r="P23" s="354"/>
      <c r="Q23" s="354"/>
      <c r="R23" s="354"/>
      <c r="S23" s="354">
        <v>0.5</v>
      </c>
      <c r="T23" s="355"/>
      <c r="U23" s="355"/>
      <c r="V23" s="355"/>
      <c r="W23" s="355"/>
      <c r="X23" s="355"/>
      <c r="Y23" s="355"/>
      <c r="Z23" s="81"/>
      <c r="AA23" s="81"/>
    </row>
    <row r="24" spans="1:27">
      <c r="A24" s="354" t="s">
        <v>1090</v>
      </c>
      <c r="B24" s="354">
        <v>40</v>
      </c>
      <c r="C24" s="354">
        <v>0.5</v>
      </c>
      <c r="D24" s="354">
        <v>0.5</v>
      </c>
      <c r="E24" s="354">
        <v>0.5</v>
      </c>
      <c r="F24" s="354">
        <v>0.5</v>
      </c>
      <c r="G24" s="354">
        <v>0.5</v>
      </c>
      <c r="H24" s="354">
        <v>0.5</v>
      </c>
      <c r="I24" s="354">
        <v>0.5</v>
      </c>
      <c r="J24" s="354">
        <v>0.5</v>
      </c>
      <c r="K24" s="354">
        <v>0.5</v>
      </c>
      <c r="L24" s="354">
        <v>1</v>
      </c>
      <c r="M24" s="354"/>
      <c r="N24" s="354"/>
      <c r="O24" s="354"/>
      <c r="P24" s="354"/>
      <c r="Q24" s="354"/>
      <c r="R24" s="354"/>
      <c r="S24" s="354">
        <v>0.5</v>
      </c>
      <c r="T24" s="355"/>
      <c r="U24" s="355"/>
      <c r="V24" s="355"/>
      <c r="W24" s="355"/>
      <c r="X24" s="355"/>
      <c r="Y24" s="355"/>
      <c r="Z24" s="81"/>
      <c r="AA24" s="81"/>
    </row>
    <row r="25" spans="1:27">
      <c r="A25" s="354" t="s">
        <v>1090</v>
      </c>
      <c r="B25" s="354">
        <v>50</v>
      </c>
      <c r="C25" s="354">
        <v>0.5</v>
      </c>
      <c r="D25" s="354">
        <v>0.5</v>
      </c>
      <c r="E25" s="354">
        <v>0.5</v>
      </c>
      <c r="F25" s="354">
        <v>0.5</v>
      </c>
      <c r="G25" s="354">
        <v>0.5</v>
      </c>
      <c r="H25" s="354">
        <v>0.5</v>
      </c>
      <c r="I25" s="354">
        <v>0.5</v>
      </c>
      <c r="J25" s="354">
        <v>0.5</v>
      </c>
      <c r="K25" s="354">
        <v>0.5</v>
      </c>
      <c r="L25" s="354">
        <v>1</v>
      </c>
      <c r="M25" s="354"/>
      <c r="N25" s="354"/>
      <c r="O25" s="354"/>
      <c r="P25" s="354"/>
      <c r="Q25" s="354"/>
      <c r="R25" s="354"/>
      <c r="S25" s="354">
        <v>0.5</v>
      </c>
      <c r="T25" s="355"/>
      <c r="U25" s="355"/>
      <c r="V25" s="355"/>
      <c r="W25" s="355"/>
      <c r="X25" s="355"/>
      <c r="Y25" s="355"/>
      <c r="Z25" s="81"/>
      <c r="AA25" s="81"/>
    </row>
    <row r="26" spans="1:27">
      <c r="A26" s="354" t="s">
        <v>1090</v>
      </c>
      <c r="B26" s="354">
        <v>65</v>
      </c>
      <c r="C26" s="354">
        <v>0.5</v>
      </c>
      <c r="D26" s="354">
        <v>0.5</v>
      </c>
      <c r="E26" s="354">
        <v>0.5</v>
      </c>
      <c r="F26" s="354">
        <v>0.5</v>
      </c>
      <c r="G26" s="354">
        <v>0.5</v>
      </c>
      <c r="H26" s="354">
        <v>0.5</v>
      </c>
      <c r="I26" s="354">
        <v>0.5</v>
      </c>
      <c r="J26" s="354">
        <v>0.5</v>
      </c>
      <c r="K26" s="354">
        <v>0.5</v>
      </c>
      <c r="L26" s="354">
        <v>1</v>
      </c>
      <c r="M26" s="354"/>
      <c r="N26" s="354"/>
      <c r="O26" s="354"/>
      <c r="P26" s="354"/>
      <c r="Q26" s="354"/>
      <c r="R26" s="354"/>
      <c r="S26" s="354">
        <v>0.5</v>
      </c>
      <c r="T26" s="355"/>
      <c r="U26" s="355"/>
      <c r="V26" s="355"/>
      <c r="W26" s="355"/>
      <c r="X26" s="355"/>
      <c r="Y26" s="355"/>
      <c r="Z26" s="81"/>
      <c r="AA26" s="81"/>
    </row>
    <row r="27" spans="1:27">
      <c r="A27" s="354" t="s">
        <v>1090</v>
      </c>
      <c r="B27" s="354">
        <v>80</v>
      </c>
      <c r="C27" s="354">
        <v>0.5</v>
      </c>
      <c r="D27" s="354">
        <v>0.5</v>
      </c>
      <c r="E27" s="354">
        <v>0.5</v>
      </c>
      <c r="F27" s="354">
        <v>0.5</v>
      </c>
      <c r="G27" s="354">
        <v>0.5</v>
      </c>
      <c r="H27" s="354">
        <v>0.5</v>
      </c>
      <c r="I27" s="354">
        <v>0.5</v>
      </c>
      <c r="J27" s="354">
        <v>0.5</v>
      </c>
      <c r="K27" s="354">
        <v>0.5</v>
      </c>
      <c r="L27" s="354">
        <v>1</v>
      </c>
      <c r="M27" s="354"/>
      <c r="N27" s="354"/>
      <c r="O27" s="354"/>
      <c r="P27" s="354"/>
      <c r="Q27" s="354"/>
      <c r="R27" s="354"/>
      <c r="S27" s="354">
        <v>0.5</v>
      </c>
      <c r="T27" s="355"/>
      <c r="U27" s="355"/>
      <c r="V27" s="355"/>
      <c r="W27" s="355"/>
      <c r="X27" s="355"/>
      <c r="Y27" s="355"/>
      <c r="Z27" s="81"/>
      <c r="AA27" s="81"/>
    </row>
    <row r="28" spans="1:27">
      <c r="A28" s="354" t="s">
        <v>1090</v>
      </c>
      <c r="B28" s="354">
        <v>100</v>
      </c>
      <c r="C28" s="354">
        <v>0.45</v>
      </c>
      <c r="D28" s="354">
        <v>0.5</v>
      </c>
      <c r="E28" s="354">
        <v>0.5</v>
      </c>
      <c r="F28" s="354">
        <v>0.45</v>
      </c>
      <c r="G28" s="354">
        <v>0.5</v>
      </c>
      <c r="H28" s="354">
        <v>0.45</v>
      </c>
      <c r="I28" s="354">
        <v>0.45</v>
      </c>
      <c r="J28" s="354">
        <v>0.45</v>
      </c>
      <c r="K28" s="354">
        <v>0.45</v>
      </c>
      <c r="L28" s="354">
        <v>1</v>
      </c>
      <c r="M28" s="354">
        <v>1</v>
      </c>
      <c r="N28" s="354">
        <v>1</v>
      </c>
      <c r="O28" s="354">
        <v>2</v>
      </c>
      <c r="P28" s="354">
        <v>2</v>
      </c>
      <c r="Q28" s="354"/>
      <c r="R28" s="354">
        <v>1</v>
      </c>
      <c r="S28" s="354">
        <v>0.45</v>
      </c>
      <c r="T28" s="355"/>
      <c r="U28" s="355"/>
      <c r="V28" s="355"/>
      <c r="W28" s="355"/>
      <c r="X28" s="355"/>
      <c r="Y28" s="355"/>
      <c r="Z28" s="81"/>
      <c r="AA28" s="81"/>
    </row>
    <row r="29" spans="1:27">
      <c r="A29" s="354" t="s">
        <v>1090</v>
      </c>
      <c r="B29" s="354">
        <v>150</v>
      </c>
      <c r="C29" s="354">
        <v>0.45</v>
      </c>
      <c r="D29" s="354">
        <v>5</v>
      </c>
      <c r="E29" s="354">
        <v>1</v>
      </c>
      <c r="F29" s="354">
        <v>1</v>
      </c>
      <c r="G29" s="354">
        <v>1</v>
      </c>
      <c r="H29" s="354">
        <v>1</v>
      </c>
      <c r="I29" s="354">
        <v>1</v>
      </c>
      <c r="J29" s="354">
        <v>1</v>
      </c>
      <c r="K29" s="354">
        <v>1</v>
      </c>
      <c r="L29" s="354">
        <v>2</v>
      </c>
      <c r="M29" s="354">
        <v>1</v>
      </c>
      <c r="N29" s="354">
        <v>1</v>
      </c>
      <c r="O29" s="354">
        <v>2</v>
      </c>
      <c r="P29" s="354">
        <v>2</v>
      </c>
      <c r="Q29" s="354"/>
      <c r="R29" s="354">
        <v>1</v>
      </c>
      <c r="S29" s="354">
        <v>0.45</v>
      </c>
      <c r="T29" s="355"/>
      <c r="U29" s="355"/>
      <c r="V29" s="355"/>
      <c r="W29" s="355"/>
      <c r="X29" s="355"/>
      <c r="Y29" s="355"/>
      <c r="Z29" s="81"/>
      <c r="AA29" s="81"/>
    </row>
    <row r="30" spans="1:27">
      <c r="A30" s="354" t="s">
        <v>1090</v>
      </c>
      <c r="B30" s="354">
        <v>200</v>
      </c>
      <c r="C30" s="354">
        <v>0.45</v>
      </c>
      <c r="D30" s="354">
        <v>0.5</v>
      </c>
      <c r="E30" s="354">
        <v>1</v>
      </c>
      <c r="F30" s="354">
        <v>1</v>
      </c>
      <c r="G30" s="354">
        <v>1</v>
      </c>
      <c r="H30" s="354">
        <v>1</v>
      </c>
      <c r="I30" s="354">
        <v>1</v>
      </c>
      <c r="J30" s="354">
        <v>1</v>
      </c>
      <c r="K30" s="354">
        <v>1</v>
      </c>
      <c r="L30" s="354">
        <v>2</v>
      </c>
      <c r="M30" s="354">
        <v>1</v>
      </c>
      <c r="N30" s="354">
        <v>1</v>
      </c>
      <c r="O30" s="354">
        <v>2</v>
      </c>
      <c r="P30" s="354">
        <v>2</v>
      </c>
      <c r="Q30" s="354"/>
      <c r="R30" s="354">
        <v>1</v>
      </c>
      <c r="S30" s="354">
        <v>0.45</v>
      </c>
      <c r="T30" s="355"/>
      <c r="U30" s="355"/>
      <c r="V30" s="355"/>
      <c r="W30" s="355"/>
      <c r="X30" s="355"/>
      <c r="Y30" s="355"/>
      <c r="Z30" s="81"/>
      <c r="AA30" s="81"/>
    </row>
    <row r="31" spans="1:27">
      <c r="A31" s="354" t="s">
        <v>1090</v>
      </c>
      <c r="B31" s="354">
        <v>250</v>
      </c>
      <c r="C31" s="354">
        <v>1</v>
      </c>
      <c r="D31" s="354">
        <v>1</v>
      </c>
      <c r="E31" s="363">
        <f>273.1*3.142*0.001*2</f>
        <v>1.7161603999999999</v>
      </c>
      <c r="F31" s="354">
        <v>1</v>
      </c>
      <c r="G31" s="363">
        <f>273.1*3.142*0.001*1</f>
        <v>0.85808019999999996</v>
      </c>
      <c r="H31" s="354">
        <v>1</v>
      </c>
      <c r="I31" s="354">
        <v>1</v>
      </c>
      <c r="J31" s="354">
        <v>1</v>
      </c>
      <c r="K31" s="354">
        <v>1</v>
      </c>
      <c r="L31" s="354">
        <v>2</v>
      </c>
      <c r="M31" s="354">
        <v>1</v>
      </c>
      <c r="N31" s="354">
        <v>1</v>
      </c>
      <c r="O31" s="354">
        <v>2</v>
      </c>
      <c r="P31" s="354">
        <v>2</v>
      </c>
      <c r="Q31" s="354"/>
      <c r="R31" s="354">
        <v>1</v>
      </c>
      <c r="S31" s="354">
        <v>1</v>
      </c>
      <c r="T31" s="355"/>
      <c r="U31" s="355"/>
      <c r="V31" s="355"/>
      <c r="W31" s="355"/>
      <c r="X31" s="355"/>
      <c r="Y31" s="355"/>
      <c r="Z31" s="81"/>
      <c r="AA31" s="81"/>
    </row>
    <row r="32" spans="1:27">
      <c r="A32" s="354" t="s">
        <v>1090</v>
      </c>
      <c r="B32" s="354">
        <v>300</v>
      </c>
      <c r="C32" s="354">
        <v>1</v>
      </c>
      <c r="D32" s="354">
        <v>1</v>
      </c>
      <c r="E32" s="363">
        <f>323.9*3.142*0.001*2</f>
        <v>2.0353876</v>
      </c>
      <c r="F32" s="354">
        <v>2</v>
      </c>
      <c r="G32" s="363">
        <f>323.9*3.142*0.001*1</f>
        <v>1.0176938</v>
      </c>
      <c r="H32" s="354">
        <v>1</v>
      </c>
      <c r="I32" s="354">
        <v>1</v>
      </c>
      <c r="J32" s="354">
        <v>1</v>
      </c>
      <c r="K32" s="354">
        <v>1</v>
      </c>
      <c r="L32" s="354">
        <v>3</v>
      </c>
      <c r="M32" s="354">
        <v>2</v>
      </c>
      <c r="N32" s="354">
        <v>2</v>
      </c>
      <c r="O32" s="354">
        <v>2</v>
      </c>
      <c r="P32" s="354">
        <v>2</v>
      </c>
      <c r="Q32" s="354"/>
      <c r="R32" s="354">
        <v>1</v>
      </c>
      <c r="S32" s="354">
        <v>1</v>
      </c>
      <c r="T32" s="355"/>
      <c r="U32" s="355"/>
      <c r="V32" s="355"/>
      <c r="W32" s="355"/>
      <c r="X32" s="355"/>
      <c r="Y32" s="355"/>
      <c r="Z32" s="81"/>
      <c r="AA32" s="81"/>
    </row>
    <row r="33" spans="1:28">
      <c r="A33" s="354" t="s">
        <v>1090</v>
      </c>
      <c r="B33" s="354">
        <v>350</v>
      </c>
      <c r="C33" s="354">
        <v>2</v>
      </c>
      <c r="D33" s="354">
        <v>1</v>
      </c>
      <c r="E33" s="363">
        <f>14*25.4*0.001*3.142*2</f>
        <v>2.2345903999999996</v>
      </c>
      <c r="F33" s="354">
        <v>2</v>
      </c>
      <c r="G33" s="363">
        <f>14*25.4*0.001*3.142*1</f>
        <v>1.1172951999999998</v>
      </c>
      <c r="H33" s="354">
        <v>1</v>
      </c>
      <c r="I33" s="354">
        <v>1</v>
      </c>
      <c r="J33" s="354">
        <v>1</v>
      </c>
      <c r="K33" s="354">
        <v>1</v>
      </c>
      <c r="L33" s="354">
        <v>4</v>
      </c>
      <c r="M33" s="354">
        <v>2</v>
      </c>
      <c r="N33" s="354">
        <v>2</v>
      </c>
      <c r="O33" s="354">
        <v>3</v>
      </c>
      <c r="P33" s="354">
        <v>3</v>
      </c>
      <c r="Q33" s="354"/>
      <c r="R33" s="354">
        <v>1</v>
      </c>
      <c r="S33" s="354">
        <v>2</v>
      </c>
      <c r="T33" s="355"/>
      <c r="U33" s="355"/>
      <c r="V33" s="355">
        <f>30*25.4</f>
        <v>762</v>
      </c>
      <c r="W33" s="355"/>
      <c r="X33" s="355"/>
      <c r="Y33" s="355"/>
      <c r="Z33" s="81"/>
      <c r="AA33" s="81"/>
    </row>
    <row r="34" spans="1:28">
      <c r="A34" s="354" t="s">
        <v>1090</v>
      </c>
      <c r="B34" s="354">
        <v>400</v>
      </c>
      <c r="C34" s="354">
        <v>2</v>
      </c>
      <c r="D34" s="354">
        <v>1</v>
      </c>
      <c r="E34" s="363">
        <f>16*25.4*3.142*0.001*2</f>
        <v>2.5538175999999999</v>
      </c>
      <c r="F34" s="354">
        <v>2</v>
      </c>
      <c r="G34" s="363">
        <f>16*25.4*3.142*0.001*1</f>
        <v>1.2769088</v>
      </c>
      <c r="H34" s="354">
        <v>1</v>
      </c>
      <c r="I34" s="354">
        <v>1</v>
      </c>
      <c r="J34" s="354">
        <v>1</v>
      </c>
      <c r="K34" s="354">
        <v>1</v>
      </c>
      <c r="L34" s="354">
        <v>4</v>
      </c>
      <c r="M34" s="354">
        <v>2</v>
      </c>
      <c r="N34" s="354">
        <v>2</v>
      </c>
      <c r="O34" s="354">
        <v>3</v>
      </c>
      <c r="P34" s="354">
        <v>3</v>
      </c>
      <c r="Q34" s="354"/>
      <c r="R34" s="354">
        <v>1</v>
      </c>
      <c r="S34" s="354">
        <v>2</v>
      </c>
      <c r="T34" s="355"/>
      <c r="U34" s="355"/>
      <c r="V34" s="355"/>
      <c r="W34" s="355"/>
      <c r="X34" s="355"/>
      <c r="Y34" s="355"/>
      <c r="Z34" s="81"/>
      <c r="AA34" s="81"/>
    </row>
    <row r="35" spans="1:28">
      <c r="A35" s="354" t="s">
        <v>1090</v>
      </c>
      <c r="B35" s="354">
        <v>450</v>
      </c>
      <c r="C35" s="354">
        <v>2</v>
      </c>
      <c r="D35" s="354">
        <v>1</v>
      </c>
      <c r="E35" s="363">
        <f>18*25.4*0.001*3.142*2</f>
        <v>2.8730447999999997</v>
      </c>
      <c r="F35" s="354">
        <v>2</v>
      </c>
      <c r="G35" s="363">
        <f>18*25.4*0.001*3.142*1</f>
        <v>1.4365223999999999</v>
      </c>
      <c r="H35" s="354">
        <v>1</v>
      </c>
      <c r="I35" s="354">
        <v>1</v>
      </c>
      <c r="J35" s="354">
        <v>1</v>
      </c>
      <c r="K35" s="354">
        <v>1</v>
      </c>
      <c r="L35" s="354">
        <v>4</v>
      </c>
      <c r="M35" s="354">
        <v>2</v>
      </c>
      <c r="N35" s="354">
        <v>2</v>
      </c>
      <c r="O35" s="354">
        <v>4</v>
      </c>
      <c r="P35" s="354">
        <v>4</v>
      </c>
      <c r="Q35" s="354"/>
      <c r="R35" s="354">
        <v>1</v>
      </c>
      <c r="S35" s="354">
        <v>2</v>
      </c>
      <c r="T35" s="355"/>
      <c r="U35" s="355"/>
      <c r="V35" s="355"/>
      <c r="W35" s="355"/>
      <c r="X35" s="355"/>
      <c r="Y35" s="355"/>
      <c r="Z35" s="81"/>
      <c r="AA35" s="81"/>
    </row>
    <row r="36" spans="1:28">
      <c r="A36" s="354" t="s">
        <v>1090</v>
      </c>
      <c r="B36" s="354">
        <v>500</v>
      </c>
      <c r="C36" s="354">
        <v>2</v>
      </c>
      <c r="D36" s="354">
        <v>1</v>
      </c>
      <c r="E36" s="363">
        <f>20*25.4*0.001*3.142*2</f>
        <v>3.192272</v>
      </c>
      <c r="F36" s="354">
        <v>2</v>
      </c>
      <c r="G36" s="363">
        <f>20*25.4*0.001*3.142*1</f>
        <v>1.596136</v>
      </c>
      <c r="H36" s="354">
        <v>1</v>
      </c>
      <c r="I36" s="354">
        <v>1</v>
      </c>
      <c r="J36" s="354">
        <v>1</v>
      </c>
      <c r="K36" s="354">
        <v>1</v>
      </c>
      <c r="L36" s="354">
        <v>4</v>
      </c>
      <c r="M36" s="354">
        <v>2</v>
      </c>
      <c r="N36" s="354">
        <v>2</v>
      </c>
      <c r="O36" s="354">
        <v>4</v>
      </c>
      <c r="P36" s="354">
        <v>4</v>
      </c>
      <c r="Q36" s="354"/>
      <c r="R36" s="354">
        <v>1</v>
      </c>
      <c r="S36" s="354">
        <v>2</v>
      </c>
      <c r="T36" s="355"/>
      <c r="U36" s="355"/>
      <c r="V36" s="355"/>
      <c r="W36" s="355"/>
      <c r="X36" s="355"/>
      <c r="Y36" s="355"/>
      <c r="Z36" s="81"/>
      <c r="AA36" s="81"/>
    </row>
    <row r="37" spans="1:28">
      <c r="A37" s="354" t="s">
        <v>1090</v>
      </c>
      <c r="B37" s="354">
        <v>600</v>
      </c>
      <c r="C37" s="354">
        <v>2</v>
      </c>
      <c r="D37" s="354">
        <v>1</v>
      </c>
      <c r="E37" s="363">
        <f>24*25.4*0.001*3.142*2</f>
        <v>3.8307263999999992</v>
      </c>
      <c r="F37" s="354">
        <v>2</v>
      </c>
      <c r="G37" s="363">
        <f>24*25.4*0.001*3.142*1</f>
        <v>1.9153631999999996</v>
      </c>
      <c r="H37" s="354">
        <v>1</v>
      </c>
      <c r="I37" s="354">
        <v>1</v>
      </c>
      <c r="J37" s="354">
        <v>1</v>
      </c>
      <c r="K37" s="354">
        <v>1</v>
      </c>
      <c r="L37" s="354">
        <v>4</v>
      </c>
      <c r="M37" s="354">
        <v>2</v>
      </c>
      <c r="N37" s="354">
        <v>2</v>
      </c>
      <c r="O37" s="354">
        <v>4</v>
      </c>
      <c r="P37" s="354">
        <v>4</v>
      </c>
      <c r="Q37" s="354"/>
      <c r="R37" s="354">
        <v>1</v>
      </c>
      <c r="S37" s="354">
        <v>2</v>
      </c>
      <c r="T37" s="355"/>
      <c r="U37" s="355"/>
      <c r="V37" s="355"/>
      <c r="W37" s="355"/>
      <c r="X37" s="355"/>
      <c r="Y37" s="355"/>
      <c r="Z37" s="81"/>
      <c r="AA37" s="81"/>
    </row>
    <row r="38" spans="1:28">
      <c r="A38" s="354" t="s">
        <v>1090</v>
      </c>
      <c r="B38" s="354">
        <v>600</v>
      </c>
      <c r="C38" s="354">
        <v>2</v>
      </c>
      <c r="D38" s="354">
        <v>1</v>
      </c>
      <c r="E38" s="363">
        <f t="shared" ref="E38:E40" si="6">24*25.4*0.001*3.142*2</f>
        <v>3.8307263999999992</v>
      </c>
      <c r="F38" s="354">
        <v>2</v>
      </c>
      <c r="G38" s="363">
        <f t="shared" ref="G38:G41" si="7">24*25.4*0.001*3.142*1</f>
        <v>1.9153631999999996</v>
      </c>
      <c r="H38" s="354">
        <v>1</v>
      </c>
      <c r="I38" s="354">
        <v>1</v>
      </c>
      <c r="J38" s="354">
        <v>1</v>
      </c>
      <c r="K38" s="354">
        <v>1</v>
      </c>
      <c r="L38" s="354">
        <v>4</v>
      </c>
      <c r="M38" s="354">
        <v>2</v>
      </c>
      <c r="N38" s="354">
        <v>2</v>
      </c>
      <c r="O38" s="354">
        <v>4</v>
      </c>
      <c r="P38" s="354">
        <v>4</v>
      </c>
      <c r="Q38" s="354"/>
      <c r="R38" s="354">
        <v>1</v>
      </c>
      <c r="S38" s="354">
        <v>2</v>
      </c>
      <c r="T38" s="355"/>
      <c r="U38" s="355"/>
      <c r="V38" s="355"/>
      <c r="W38" s="355"/>
      <c r="X38" s="355"/>
      <c r="Y38" s="355"/>
      <c r="Z38" s="81"/>
      <c r="AA38" s="81"/>
    </row>
    <row r="39" spans="1:28">
      <c r="A39" s="354" t="s">
        <v>1090</v>
      </c>
      <c r="B39" s="354">
        <v>600</v>
      </c>
      <c r="C39" s="354">
        <v>2</v>
      </c>
      <c r="D39" s="354">
        <v>1</v>
      </c>
      <c r="E39" s="363">
        <f t="shared" si="6"/>
        <v>3.8307263999999992</v>
      </c>
      <c r="F39" s="354">
        <v>2</v>
      </c>
      <c r="G39" s="363">
        <f t="shared" si="7"/>
        <v>1.9153631999999996</v>
      </c>
      <c r="H39" s="354">
        <v>1</v>
      </c>
      <c r="I39" s="354">
        <v>1</v>
      </c>
      <c r="J39" s="354">
        <v>1</v>
      </c>
      <c r="K39" s="354">
        <v>1</v>
      </c>
      <c r="L39" s="354">
        <v>4</v>
      </c>
      <c r="M39" s="354">
        <v>2</v>
      </c>
      <c r="N39" s="354">
        <v>2</v>
      </c>
      <c r="O39" s="354">
        <v>4</v>
      </c>
      <c r="P39" s="354">
        <v>4</v>
      </c>
      <c r="Q39" s="354"/>
      <c r="R39" s="354">
        <v>1</v>
      </c>
      <c r="S39" s="354">
        <v>2</v>
      </c>
      <c r="T39" s="355"/>
      <c r="U39" s="355"/>
      <c r="V39" s="355"/>
      <c r="W39" s="355"/>
      <c r="X39" s="355"/>
      <c r="Y39" s="355"/>
      <c r="Z39" s="81"/>
      <c r="AA39" s="81"/>
    </row>
    <row r="40" spans="1:28">
      <c r="A40" s="354" t="s">
        <v>1090</v>
      </c>
      <c r="B40" s="354">
        <v>650</v>
      </c>
      <c r="C40" s="354">
        <v>2</v>
      </c>
      <c r="D40" s="354">
        <v>1</v>
      </c>
      <c r="E40" s="363">
        <f t="shared" si="6"/>
        <v>3.8307263999999992</v>
      </c>
      <c r="F40" s="354">
        <v>2</v>
      </c>
      <c r="G40" s="363">
        <f t="shared" si="7"/>
        <v>1.9153631999999996</v>
      </c>
      <c r="H40" s="354">
        <v>1</v>
      </c>
      <c r="I40" s="354">
        <v>1</v>
      </c>
      <c r="J40" s="354">
        <v>1</v>
      </c>
      <c r="K40" s="354">
        <v>1</v>
      </c>
      <c r="L40" s="354">
        <v>4</v>
      </c>
      <c r="M40" s="354">
        <v>2</v>
      </c>
      <c r="N40" s="354">
        <v>2</v>
      </c>
      <c r="O40" s="354">
        <v>4</v>
      </c>
      <c r="P40" s="354">
        <v>4</v>
      </c>
      <c r="Q40" s="354"/>
      <c r="R40" s="354">
        <v>1</v>
      </c>
      <c r="S40" s="354">
        <v>2</v>
      </c>
      <c r="T40" s="355"/>
      <c r="U40" s="355"/>
      <c r="V40" s="355"/>
      <c r="W40" s="355"/>
      <c r="X40" s="355"/>
      <c r="Y40" s="355"/>
      <c r="Z40" s="81"/>
      <c r="AA40" s="81"/>
    </row>
    <row r="41" spans="1:28">
      <c r="A41" s="355" t="s">
        <v>1090</v>
      </c>
      <c r="B41" s="355">
        <v>750</v>
      </c>
      <c r="C41" s="354">
        <v>2</v>
      </c>
      <c r="D41" s="354">
        <v>1</v>
      </c>
      <c r="E41" s="363">
        <f>30*25.4*3.142*0.001*2</f>
        <v>4.7884079999999996</v>
      </c>
      <c r="F41" s="354">
        <v>2</v>
      </c>
      <c r="G41" s="363">
        <f t="shared" si="7"/>
        <v>1.9153631999999996</v>
      </c>
      <c r="H41" s="354">
        <v>1</v>
      </c>
      <c r="I41" s="354">
        <v>1</v>
      </c>
      <c r="J41" s="354">
        <v>1</v>
      </c>
      <c r="K41" s="354">
        <v>1</v>
      </c>
      <c r="L41" s="354">
        <v>4</v>
      </c>
      <c r="M41" s="354">
        <v>2</v>
      </c>
      <c r="N41" s="354">
        <v>2</v>
      </c>
      <c r="O41" s="354">
        <v>4</v>
      </c>
      <c r="P41" s="354">
        <v>4</v>
      </c>
      <c r="Q41" s="354"/>
      <c r="R41" s="354">
        <v>1</v>
      </c>
      <c r="S41" s="354">
        <v>2</v>
      </c>
      <c r="T41" s="355"/>
      <c r="U41" s="355"/>
      <c r="V41" s="355"/>
      <c r="W41" s="355"/>
      <c r="X41" s="355"/>
      <c r="Y41" s="355"/>
      <c r="Z41" s="81"/>
      <c r="AA41" s="81"/>
    </row>
    <row r="42" spans="1:28">
      <c r="B42" s="355"/>
      <c r="C42" s="355"/>
      <c r="D42" s="355"/>
      <c r="E42" s="355"/>
      <c r="F42" s="355"/>
      <c r="G42" s="355"/>
      <c r="H42" s="355"/>
      <c r="I42" s="355"/>
      <c r="J42" s="355"/>
      <c r="K42" s="355"/>
      <c r="L42" s="355"/>
      <c r="M42" s="355"/>
      <c r="N42" s="355"/>
      <c r="O42" s="355"/>
      <c r="P42" s="355"/>
      <c r="Q42" s="355"/>
      <c r="R42" s="355"/>
      <c r="S42" s="355"/>
      <c r="T42" s="355"/>
      <c r="U42" s="355"/>
      <c r="V42" s="355"/>
      <c r="W42" s="355"/>
      <c r="X42" s="355"/>
      <c r="Y42" s="355"/>
    </row>
    <row r="43" spans="1:28" ht="21">
      <c r="B43" s="384" t="s">
        <v>1854</v>
      </c>
      <c r="C43" s="384"/>
      <c r="D43" s="384"/>
      <c r="E43" s="384"/>
      <c r="F43" s="384"/>
      <c r="G43" s="384"/>
      <c r="H43" s="384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382"/>
      <c r="Y43" s="382"/>
    </row>
    <row r="44" spans="1:28">
      <c r="B44" s="359" t="s">
        <v>829</v>
      </c>
      <c r="C44" s="359"/>
      <c r="D44" s="359"/>
      <c r="E44" s="359"/>
      <c r="F44" s="359"/>
      <c r="G44" s="359"/>
      <c r="H44" s="359"/>
      <c r="I44" s="359"/>
      <c r="J44" s="359"/>
      <c r="K44" s="359"/>
      <c r="L44" s="359"/>
      <c r="M44" s="359"/>
      <c r="N44" s="359"/>
      <c r="O44" s="359"/>
      <c r="P44" s="359"/>
      <c r="Q44" s="359"/>
      <c r="R44" s="359"/>
      <c r="S44" s="359"/>
      <c r="T44" s="359"/>
      <c r="U44" s="359"/>
      <c r="V44" s="355"/>
      <c r="W44" s="355"/>
      <c r="X44" s="355"/>
      <c r="Y44" s="355"/>
    </row>
    <row r="45" spans="1:28">
      <c r="B45" s="360"/>
      <c r="C45" s="354">
        <v>2</v>
      </c>
      <c r="D45" s="354">
        <v>3</v>
      </c>
      <c r="E45" s="354">
        <v>4</v>
      </c>
      <c r="F45" s="354">
        <v>5</v>
      </c>
      <c r="G45" s="354">
        <v>6</v>
      </c>
      <c r="H45" s="354">
        <v>7</v>
      </c>
      <c r="I45" s="354">
        <v>8</v>
      </c>
      <c r="J45" s="354">
        <v>9</v>
      </c>
      <c r="K45" s="354">
        <v>10</v>
      </c>
      <c r="L45" s="354">
        <v>11</v>
      </c>
      <c r="M45" s="354">
        <v>12</v>
      </c>
      <c r="N45" s="354">
        <v>13</v>
      </c>
      <c r="O45" s="354">
        <v>14</v>
      </c>
      <c r="P45" s="354">
        <v>15</v>
      </c>
      <c r="Q45" s="354">
        <v>16</v>
      </c>
      <c r="R45" s="354">
        <v>17</v>
      </c>
      <c r="S45" s="354">
        <v>18</v>
      </c>
      <c r="T45" s="354">
        <v>20</v>
      </c>
      <c r="U45" s="354">
        <v>21</v>
      </c>
      <c r="V45" s="354">
        <v>22</v>
      </c>
      <c r="W45" s="354">
        <v>23</v>
      </c>
      <c r="X45" s="354">
        <v>24</v>
      </c>
      <c r="Y45" s="354">
        <v>25</v>
      </c>
    </row>
    <row r="46" spans="1:28" s="82" customFormat="1" ht="72" customHeight="1">
      <c r="B46" s="361" t="s">
        <v>830</v>
      </c>
      <c r="C46" s="361" t="s">
        <v>831</v>
      </c>
      <c r="D46" s="361" t="s">
        <v>832</v>
      </c>
      <c r="E46" s="361" t="s">
        <v>833</v>
      </c>
      <c r="F46" s="361" t="s">
        <v>834</v>
      </c>
      <c r="G46" s="361" t="s">
        <v>835</v>
      </c>
      <c r="H46" s="361" t="s">
        <v>836</v>
      </c>
      <c r="I46" s="361" t="s">
        <v>837</v>
      </c>
      <c r="J46" s="361" t="s">
        <v>838</v>
      </c>
      <c r="K46" s="361" t="s">
        <v>839</v>
      </c>
      <c r="L46" s="361" t="s">
        <v>840</v>
      </c>
      <c r="M46" s="361" t="s">
        <v>841</v>
      </c>
      <c r="N46" s="361" t="s">
        <v>842</v>
      </c>
      <c r="O46" s="361" t="s">
        <v>843</v>
      </c>
      <c r="P46" s="361" t="s">
        <v>844</v>
      </c>
      <c r="Q46" s="361" t="s">
        <v>845</v>
      </c>
      <c r="R46" s="361" t="s">
        <v>846</v>
      </c>
      <c r="S46" s="361" t="s">
        <v>723</v>
      </c>
      <c r="T46" s="361" t="s">
        <v>847</v>
      </c>
      <c r="U46" s="361" t="s">
        <v>848</v>
      </c>
      <c r="V46" s="361" t="s">
        <v>849</v>
      </c>
      <c r="W46" s="361" t="s">
        <v>377</v>
      </c>
      <c r="X46" s="361"/>
      <c r="Y46" s="361" t="s">
        <v>677</v>
      </c>
      <c r="Z46" s="83"/>
      <c r="AA46" s="83"/>
      <c r="AB46" s="83"/>
    </row>
    <row r="47" spans="1:28">
      <c r="B47" s="354">
        <v>250</v>
      </c>
      <c r="C47" s="354">
        <v>12</v>
      </c>
      <c r="D47" s="354">
        <v>4</v>
      </c>
      <c r="E47" s="354">
        <v>0.15</v>
      </c>
      <c r="F47" s="354">
        <v>0.5</v>
      </c>
      <c r="G47" s="364">
        <f>1/60*5</f>
        <v>8.3333333333333329E-2</v>
      </c>
      <c r="H47" s="354">
        <v>4</v>
      </c>
      <c r="I47" s="354">
        <v>2</v>
      </c>
      <c r="J47" s="354">
        <v>0.25</v>
      </c>
      <c r="K47" s="354">
        <v>0.25</v>
      </c>
      <c r="L47" s="354">
        <v>1</v>
      </c>
      <c r="M47" s="354">
        <v>16</v>
      </c>
      <c r="N47" s="354">
        <v>0.5</v>
      </c>
      <c r="O47" s="354">
        <f>1/60*10</f>
        <v>0.16666666666666666</v>
      </c>
      <c r="P47" s="354">
        <v>16</v>
      </c>
      <c r="Q47" s="354">
        <v>16</v>
      </c>
      <c r="R47" s="354">
        <v>16</v>
      </c>
      <c r="S47" s="354">
        <v>16</v>
      </c>
      <c r="T47" s="354">
        <f>1/60*1</f>
        <v>1.6666666666666666E-2</v>
      </c>
      <c r="U47" s="354">
        <f>1/60*3</f>
        <v>0.05</v>
      </c>
      <c r="V47" s="354">
        <f>1/60*5</f>
        <v>8.3333333333333329E-2</v>
      </c>
      <c r="W47" s="354">
        <v>8</v>
      </c>
      <c r="X47" s="354"/>
      <c r="Y47" s="354">
        <v>12</v>
      </c>
    </row>
    <row r="48" spans="1:28">
      <c r="B48" s="354">
        <v>500</v>
      </c>
      <c r="C48" s="354">
        <v>12</v>
      </c>
      <c r="D48" s="354">
        <v>4</v>
      </c>
      <c r="E48" s="354">
        <v>0.15</v>
      </c>
      <c r="F48" s="354">
        <v>0.5</v>
      </c>
      <c r="G48" s="364">
        <f t="shared" ref="G48:G54" si="8">1/60*5</f>
        <v>8.3333333333333329E-2</v>
      </c>
      <c r="H48" s="354">
        <v>4</v>
      </c>
      <c r="I48" s="354">
        <v>2</v>
      </c>
      <c r="J48" s="354">
        <v>0.25</v>
      </c>
      <c r="K48" s="354">
        <v>0.25</v>
      </c>
      <c r="L48" s="354">
        <v>1</v>
      </c>
      <c r="M48" s="354">
        <v>16</v>
      </c>
      <c r="N48" s="354">
        <v>0.5</v>
      </c>
      <c r="O48" s="354">
        <f t="shared" ref="O48:O54" si="9">1/60*10</f>
        <v>0.16666666666666666</v>
      </c>
      <c r="P48" s="354">
        <v>16</v>
      </c>
      <c r="Q48" s="354">
        <v>16</v>
      </c>
      <c r="R48" s="354">
        <v>16</v>
      </c>
      <c r="S48" s="354">
        <v>16</v>
      </c>
      <c r="T48" s="354">
        <f t="shared" ref="T48:T54" si="10">1/60*1</f>
        <v>1.6666666666666666E-2</v>
      </c>
      <c r="U48" s="354">
        <f t="shared" ref="U48:U54" si="11">1/60*3</f>
        <v>0.05</v>
      </c>
      <c r="V48" s="354">
        <f t="shared" ref="V48:V54" si="12">1/60*5</f>
        <v>8.3333333333333329E-2</v>
      </c>
      <c r="W48" s="354">
        <v>8</v>
      </c>
      <c r="X48" s="354"/>
      <c r="Y48" s="354">
        <v>12</v>
      </c>
    </row>
    <row r="49" spans="2:25">
      <c r="B49" s="354">
        <v>750</v>
      </c>
      <c r="C49" s="354">
        <v>12</v>
      </c>
      <c r="D49" s="354">
        <v>4</v>
      </c>
      <c r="E49" s="354">
        <v>0.15</v>
      </c>
      <c r="F49" s="354">
        <v>0.5</v>
      </c>
      <c r="G49" s="364">
        <f t="shared" si="8"/>
        <v>8.3333333333333329E-2</v>
      </c>
      <c r="H49" s="354">
        <v>4</v>
      </c>
      <c r="I49" s="354">
        <v>2</v>
      </c>
      <c r="J49" s="354">
        <v>0.25</v>
      </c>
      <c r="K49" s="354">
        <v>0.25</v>
      </c>
      <c r="L49" s="354">
        <v>1</v>
      </c>
      <c r="M49" s="354">
        <v>16</v>
      </c>
      <c r="N49" s="354">
        <v>0.5</v>
      </c>
      <c r="O49" s="354">
        <f t="shared" si="9"/>
        <v>0.16666666666666666</v>
      </c>
      <c r="P49" s="354">
        <v>16</v>
      </c>
      <c r="Q49" s="354">
        <v>16</v>
      </c>
      <c r="R49" s="354">
        <v>16</v>
      </c>
      <c r="S49" s="354">
        <v>16</v>
      </c>
      <c r="T49" s="354">
        <f t="shared" si="10"/>
        <v>1.6666666666666666E-2</v>
      </c>
      <c r="U49" s="354">
        <f t="shared" si="11"/>
        <v>0.05</v>
      </c>
      <c r="V49" s="354">
        <f t="shared" si="12"/>
        <v>8.3333333333333329E-2</v>
      </c>
      <c r="W49" s="354">
        <v>8</v>
      </c>
      <c r="X49" s="354"/>
      <c r="Y49" s="354">
        <v>12</v>
      </c>
    </row>
    <row r="50" spans="2:25">
      <c r="B50" s="354">
        <v>1000</v>
      </c>
      <c r="C50" s="354">
        <v>12</v>
      </c>
      <c r="D50" s="354">
        <v>4</v>
      </c>
      <c r="E50" s="354">
        <v>0.15</v>
      </c>
      <c r="F50" s="354">
        <v>0.5</v>
      </c>
      <c r="G50" s="364">
        <f t="shared" si="8"/>
        <v>8.3333333333333329E-2</v>
      </c>
      <c r="H50" s="354">
        <v>4</v>
      </c>
      <c r="I50" s="354">
        <v>2</v>
      </c>
      <c r="J50" s="354">
        <v>0.25</v>
      </c>
      <c r="K50" s="354">
        <v>0.25</v>
      </c>
      <c r="L50" s="354">
        <v>1</v>
      </c>
      <c r="M50" s="354">
        <v>16</v>
      </c>
      <c r="N50" s="354">
        <v>0.5</v>
      </c>
      <c r="O50" s="354">
        <f t="shared" si="9"/>
        <v>0.16666666666666666</v>
      </c>
      <c r="P50" s="354">
        <v>16</v>
      </c>
      <c r="Q50" s="354">
        <v>16</v>
      </c>
      <c r="R50" s="354">
        <v>16</v>
      </c>
      <c r="S50" s="354">
        <v>16</v>
      </c>
      <c r="T50" s="354">
        <f t="shared" si="10"/>
        <v>1.6666666666666666E-2</v>
      </c>
      <c r="U50" s="354">
        <f t="shared" si="11"/>
        <v>0.05</v>
      </c>
      <c r="V50" s="354">
        <f t="shared" si="12"/>
        <v>8.3333333333333329E-2</v>
      </c>
      <c r="W50" s="354">
        <v>8</v>
      </c>
      <c r="X50" s="354"/>
      <c r="Y50" s="354">
        <v>12</v>
      </c>
    </row>
    <row r="51" spans="2:25">
      <c r="B51" s="354">
        <v>1250</v>
      </c>
      <c r="C51" s="354">
        <v>12</v>
      </c>
      <c r="D51" s="354">
        <v>4</v>
      </c>
      <c r="E51" s="354">
        <v>0.15</v>
      </c>
      <c r="F51" s="354">
        <v>0.5</v>
      </c>
      <c r="G51" s="364">
        <f t="shared" si="8"/>
        <v>8.3333333333333329E-2</v>
      </c>
      <c r="H51" s="354">
        <v>4</v>
      </c>
      <c r="I51" s="354">
        <v>2</v>
      </c>
      <c r="J51" s="354">
        <v>0.25</v>
      </c>
      <c r="K51" s="354">
        <v>0.25</v>
      </c>
      <c r="L51" s="354">
        <v>1</v>
      </c>
      <c r="M51" s="354">
        <v>16</v>
      </c>
      <c r="N51" s="354">
        <v>0.5</v>
      </c>
      <c r="O51" s="354">
        <f t="shared" si="9"/>
        <v>0.16666666666666666</v>
      </c>
      <c r="P51" s="354">
        <v>16</v>
      </c>
      <c r="Q51" s="354">
        <v>16</v>
      </c>
      <c r="R51" s="354">
        <v>16</v>
      </c>
      <c r="S51" s="354">
        <v>16</v>
      </c>
      <c r="T51" s="354">
        <f t="shared" si="10"/>
        <v>1.6666666666666666E-2</v>
      </c>
      <c r="U51" s="354">
        <f t="shared" si="11"/>
        <v>0.05</v>
      </c>
      <c r="V51" s="354">
        <f t="shared" si="12"/>
        <v>8.3333333333333329E-2</v>
      </c>
      <c r="W51" s="354">
        <v>8</v>
      </c>
      <c r="X51" s="354"/>
      <c r="Y51" s="354">
        <v>12</v>
      </c>
    </row>
    <row r="52" spans="2:25">
      <c r="B52" s="354">
        <v>1500</v>
      </c>
      <c r="C52" s="354">
        <v>12</v>
      </c>
      <c r="D52" s="354">
        <v>4</v>
      </c>
      <c r="E52" s="354">
        <v>0.15</v>
      </c>
      <c r="F52" s="354">
        <v>0.5</v>
      </c>
      <c r="G52" s="364">
        <f t="shared" si="8"/>
        <v>8.3333333333333329E-2</v>
      </c>
      <c r="H52" s="354">
        <v>4</v>
      </c>
      <c r="I52" s="354">
        <v>2</v>
      </c>
      <c r="J52" s="354">
        <v>0.25</v>
      </c>
      <c r="K52" s="354">
        <v>0.25</v>
      </c>
      <c r="L52" s="354">
        <v>1</v>
      </c>
      <c r="M52" s="354">
        <v>16</v>
      </c>
      <c r="N52" s="354">
        <v>0.5</v>
      </c>
      <c r="O52" s="354">
        <f t="shared" si="9"/>
        <v>0.16666666666666666</v>
      </c>
      <c r="P52" s="354">
        <v>16</v>
      </c>
      <c r="Q52" s="354">
        <v>16</v>
      </c>
      <c r="R52" s="354">
        <v>16</v>
      </c>
      <c r="S52" s="354">
        <v>16</v>
      </c>
      <c r="T52" s="354">
        <f t="shared" si="10"/>
        <v>1.6666666666666666E-2</v>
      </c>
      <c r="U52" s="354">
        <f t="shared" si="11"/>
        <v>0.05</v>
      </c>
      <c r="V52" s="354">
        <f t="shared" si="12"/>
        <v>8.3333333333333329E-2</v>
      </c>
      <c r="W52" s="354">
        <v>8</v>
      </c>
      <c r="X52" s="354"/>
      <c r="Y52" s="354">
        <v>12</v>
      </c>
    </row>
    <row r="53" spans="2:25">
      <c r="B53" s="354">
        <v>1750</v>
      </c>
      <c r="C53" s="354">
        <v>12</v>
      </c>
      <c r="D53" s="354">
        <v>4</v>
      </c>
      <c r="E53" s="354">
        <v>0.15</v>
      </c>
      <c r="F53" s="354">
        <v>0.5</v>
      </c>
      <c r="G53" s="364">
        <f t="shared" si="8"/>
        <v>8.3333333333333329E-2</v>
      </c>
      <c r="H53" s="354">
        <v>4</v>
      </c>
      <c r="I53" s="354">
        <v>2</v>
      </c>
      <c r="J53" s="354">
        <v>0.25</v>
      </c>
      <c r="K53" s="354">
        <v>0.25</v>
      </c>
      <c r="L53" s="354">
        <v>1</v>
      </c>
      <c r="M53" s="354">
        <v>16</v>
      </c>
      <c r="N53" s="354">
        <v>0.5</v>
      </c>
      <c r="O53" s="354">
        <f t="shared" si="9"/>
        <v>0.16666666666666666</v>
      </c>
      <c r="P53" s="354">
        <v>16</v>
      </c>
      <c r="Q53" s="354">
        <v>16</v>
      </c>
      <c r="R53" s="354">
        <v>16</v>
      </c>
      <c r="S53" s="354">
        <v>16</v>
      </c>
      <c r="T53" s="354">
        <f t="shared" si="10"/>
        <v>1.6666666666666666E-2</v>
      </c>
      <c r="U53" s="354">
        <f t="shared" si="11"/>
        <v>0.05</v>
      </c>
      <c r="V53" s="354">
        <f t="shared" si="12"/>
        <v>8.3333333333333329E-2</v>
      </c>
      <c r="W53" s="354">
        <v>8</v>
      </c>
      <c r="X53" s="354"/>
      <c r="Y53" s="354">
        <v>12</v>
      </c>
    </row>
    <row r="54" spans="2:25">
      <c r="B54" s="354">
        <v>2000</v>
      </c>
      <c r="C54" s="354">
        <v>12</v>
      </c>
      <c r="D54" s="354">
        <v>4</v>
      </c>
      <c r="E54" s="354">
        <v>0.15</v>
      </c>
      <c r="F54" s="354">
        <v>0.5</v>
      </c>
      <c r="G54" s="364">
        <f t="shared" si="8"/>
        <v>8.3333333333333329E-2</v>
      </c>
      <c r="H54" s="354">
        <v>4</v>
      </c>
      <c r="I54" s="354">
        <v>2</v>
      </c>
      <c r="J54" s="354">
        <v>0.25</v>
      </c>
      <c r="K54" s="354">
        <v>0.25</v>
      </c>
      <c r="L54" s="354">
        <v>1</v>
      </c>
      <c r="M54" s="354">
        <v>16</v>
      </c>
      <c r="N54" s="354">
        <v>0.5</v>
      </c>
      <c r="O54" s="354">
        <f t="shared" si="9"/>
        <v>0.16666666666666666</v>
      </c>
      <c r="P54" s="354">
        <v>16</v>
      </c>
      <c r="Q54" s="354">
        <v>16</v>
      </c>
      <c r="R54" s="354">
        <v>16</v>
      </c>
      <c r="S54" s="354">
        <v>16</v>
      </c>
      <c r="T54" s="354">
        <f t="shared" si="10"/>
        <v>1.6666666666666666E-2</v>
      </c>
      <c r="U54" s="354">
        <f t="shared" si="11"/>
        <v>0.05</v>
      </c>
      <c r="V54" s="354">
        <f t="shared" si="12"/>
        <v>8.3333333333333329E-2</v>
      </c>
      <c r="W54" s="354">
        <v>8</v>
      </c>
      <c r="X54" s="354"/>
      <c r="Y54" s="354">
        <v>12</v>
      </c>
    </row>
    <row r="55" spans="2:25" ht="21">
      <c r="B55" s="383" t="s">
        <v>1855</v>
      </c>
      <c r="C55" s="383"/>
      <c r="D55" s="383"/>
      <c r="E55" s="383"/>
      <c r="F55" s="383"/>
      <c r="G55" s="383"/>
      <c r="H55" s="383"/>
      <c r="I55" s="382"/>
      <c r="J55" s="382"/>
      <c r="K55" s="382"/>
      <c r="L55" s="382"/>
      <c r="M55" s="382"/>
      <c r="N55" s="382"/>
      <c r="O55" s="382"/>
      <c r="P55" s="382"/>
      <c r="Q55" s="382"/>
      <c r="R55" s="382"/>
      <c r="S55" s="382"/>
      <c r="T55" s="382"/>
      <c r="U55" s="382"/>
      <c r="V55" s="382"/>
      <c r="W55" s="382"/>
      <c r="X55" s="382"/>
      <c r="Y55" s="382"/>
    </row>
    <row r="56" spans="2:25">
      <c r="B56" s="365"/>
      <c r="C56" s="365"/>
      <c r="D56" s="366">
        <v>2</v>
      </c>
      <c r="E56" s="365"/>
      <c r="F56" s="365"/>
      <c r="G56" s="365"/>
      <c r="H56" s="365"/>
      <c r="I56" s="365"/>
      <c r="J56" s="365"/>
      <c r="K56" s="365"/>
      <c r="L56" s="365"/>
      <c r="M56" s="365"/>
      <c r="N56" s="365"/>
      <c r="O56" s="365"/>
      <c r="P56" s="365"/>
      <c r="Q56" s="365"/>
      <c r="R56" s="365"/>
      <c r="S56" s="365"/>
      <c r="T56" s="365"/>
      <c r="U56" s="365"/>
      <c r="V56" s="365"/>
      <c r="W56" s="365"/>
      <c r="X56" s="365"/>
      <c r="Y56" s="365"/>
    </row>
    <row r="57" spans="2:25">
      <c r="B57" s="365"/>
      <c r="C57" s="365">
        <v>500</v>
      </c>
      <c r="D57" s="366">
        <v>1</v>
      </c>
      <c r="E57" s="365"/>
      <c r="F57" s="365"/>
      <c r="G57" s="365"/>
      <c r="H57" s="365"/>
      <c r="I57" s="365"/>
      <c r="J57" s="365"/>
      <c r="K57" s="365"/>
      <c r="L57" s="365"/>
      <c r="M57" s="365"/>
      <c r="N57" s="365"/>
      <c r="O57" s="365"/>
      <c r="P57" s="365"/>
      <c r="Q57" s="365"/>
      <c r="R57" s="365"/>
      <c r="S57" s="365"/>
      <c r="T57" s="365"/>
      <c r="U57" s="365"/>
      <c r="V57" s="365"/>
      <c r="W57" s="365"/>
      <c r="X57" s="365"/>
      <c r="Y57" s="365"/>
    </row>
    <row r="58" spans="2:25">
      <c r="B58" s="365"/>
      <c r="C58" s="365">
        <v>1000</v>
      </c>
      <c r="D58" s="366">
        <v>2</v>
      </c>
      <c r="E58" s="365"/>
      <c r="F58" s="365"/>
      <c r="G58" s="365"/>
      <c r="H58" s="365"/>
      <c r="I58" s="365"/>
      <c r="J58" s="365"/>
      <c r="K58" s="365"/>
      <c r="L58" s="365"/>
      <c r="M58" s="365"/>
      <c r="N58" s="365"/>
      <c r="O58" s="365"/>
      <c r="P58" s="365"/>
      <c r="Q58" s="365"/>
      <c r="R58" s="365"/>
      <c r="S58" s="365"/>
      <c r="T58" s="365"/>
      <c r="U58" s="365"/>
      <c r="V58" s="365"/>
      <c r="W58" s="365"/>
      <c r="X58" s="365"/>
      <c r="Y58" s="365"/>
    </row>
    <row r="59" spans="2:25">
      <c r="B59" s="365"/>
      <c r="C59" s="365">
        <v>1250</v>
      </c>
      <c r="D59" s="366">
        <v>2.5</v>
      </c>
      <c r="E59" s="365"/>
      <c r="F59" s="365"/>
      <c r="G59" s="365"/>
      <c r="H59" s="365"/>
      <c r="I59" s="365"/>
      <c r="J59" s="365"/>
      <c r="K59" s="365"/>
      <c r="L59" s="365"/>
      <c r="M59" s="365"/>
      <c r="N59" s="365"/>
      <c r="O59" s="365"/>
      <c r="P59" s="365"/>
      <c r="Q59" s="365"/>
      <c r="R59" s="365"/>
      <c r="S59" s="365"/>
      <c r="T59" s="365"/>
      <c r="U59" s="365"/>
      <c r="V59" s="365"/>
      <c r="W59" s="365"/>
      <c r="X59" s="365"/>
      <c r="Y59" s="365"/>
    </row>
    <row r="60" spans="2:25">
      <c r="B60" s="365"/>
      <c r="C60" s="365">
        <v>1500</v>
      </c>
      <c r="D60" s="366">
        <v>3</v>
      </c>
      <c r="E60" s="365"/>
      <c r="F60" s="365"/>
      <c r="G60" s="365"/>
      <c r="H60" s="365"/>
      <c r="I60" s="365"/>
      <c r="J60" s="365"/>
      <c r="K60" s="365"/>
      <c r="L60" s="365"/>
      <c r="M60" s="365"/>
      <c r="N60" s="365"/>
      <c r="O60" s="365"/>
      <c r="P60" s="365"/>
      <c r="Q60" s="365"/>
      <c r="R60" s="365"/>
      <c r="S60" s="365"/>
      <c r="T60" s="365"/>
      <c r="U60" s="365"/>
      <c r="V60" s="365"/>
      <c r="W60" s="365"/>
      <c r="X60" s="365"/>
      <c r="Y60" s="365"/>
    </row>
    <row r="61" spans="2:25">
      <c r="B61" s="365"/>
      <c r="C61" s="365">
        <v>1750</v>
      </c>
      <c r="D61" s="366">
        <v>3.5</v>
      </c>
      <c r="E61" s="365"/>
      <c r="F61" s="365"/>
      <c r="G61" s="365"/>
      <c r="H61" s="365"/>
      <c r="I61" s="365"/>
      <c r="J61" s="365"/>
      <c r="K61" s="365"/>
      <c r="L61" s="365"/>
      <c r="M61" s="365"/>
      <c r="N61" s="365"/>
      <c r="O61" s="365"/>
      <c r="P61" s="365"/>
      <c r="Q61" s="365"/>
      <c r="R61" s="365"/>
      <c r="S61" s="365"/>
      <c r="T61" s="365"/>
      <c r="U61" s="365"/>
      <c r="V61" s="365"/>
      <c r="W61" s="365"/>
      <c r="X61" s="365"/>
      <c r="Y61" s="365"/>
    </row>
    <row r="62" spans="2:25">
      <c r="B62" s="365"/>
      <c r="C62" s="365">
        <v>2000</v>
      </c>
      <c r="D62" s="366">
        <v>4</v>
      </c>
      <c r="E62" s="365"/>
      <c r="F62" s="365"/>
      <c r="G62" s="365"/>
      <c r="H62" s="365"/>
      <c r="I62" s="365"/>
      <c r="J62" s="365"/>
      <c r="K62" s="365"/>
      <c r="L62" s="365"/>
      <c r="M62" s="365"/>
      <c r="N62" s="365"/>
      <c r="O62" s="365"/>
      <c r="P62" s="365"/>
      <c r="Q62" s="365"/>
      <c r="R62" s="365"/>
      <c r="S62" s="365"/>
      <c r="T62" s="365"/>
      <c r="U62" s="365"/>
      <c r="V62" s="365"/>
      <c r="W62" s="365"/>
      <c r="X62" s="365"/>
      <c r="Y62" s="365"/>
    </row>
    <row r="226" spans="4:4">
      <c r="D226" s="84"/>
    </row>
    <row r="228" spans="4:4">
      <c r="D228" s="84"/>
    </row>
    <row r="230" spans="4:4">
      <c r="D230" s="85"/>
    </row>
    <row r="231" spans="4:4">
      <c r="D231" s="85"/>
    </row>
    <row r="240" spans="4:4">
      <c r="D240" s="84"/>
    </row>
    <row r="242" spans="4:4">
      <c r="D242" s="84"/>
    </row>
    <row r="244" spans="4:4">
      <c r="D244" s="85"/>
    </row>
    <row r="245" spans="4:4">
      <c r="D245" s="85"/>
    </row>
  </sheetData>
  <mergeCells count="2">
    <mergeCell ref="B44:U44"/>
    <mergeCell ref="B20:H20"/>
  </mergeCells>
  <pageMargins left="0.69930555555555596" right="0.69930555555555596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8"/>
  <sheetViews>
    <sheetView showGridLines="0" workbookViewId="0">
      <selection activeCell="J2" sqref="J2"/>
    </sheetView>
  </sheetViews>
  <sheetFormatPr defaultColWidth="9.1328125" defaultRowHeight="18.75" customHeight="1"/>
  <cols>
    <col min="1" max="1" width="32.59765625" style="35" customWidth="1"/>
    <col min="2" max="2" width="5.73046875" style="35" customWidth="1"/>
    <col min="3" max="3" width="5.86328125" style="36" customWidth="1"/>
    <col min="4" max="4" width="8.1328125" style="34" customWidth="1"/>
    <col min="5" max="5" width="9.59765625" style="34" customWidth="1"/>
    <col min="6" max="6" width="10.265625" style="34" customWidth="1"/>
    <col min="7" max="7" width="15.3984375" style="34" customWidth="1"/>
    <col min="8" max="8" width="9.3984375" style="34" customWidth="1"/>
    <col min="9" max="9" width="15.1328125" style="34" customWidth="1"/>
    <col min="10" max="10" width="16.73046875" style="34" customWidth="1"/>
    <col min="11" max="11" width="8.73046875" style="34" customWidth="1"/>
    <col min="12" max="12" width="6.59765625" style="34" customWidth="1"/>
    <col min="13" max="13" width="12.86328125" style="34" customWidth="1"/>
    <col min="14" max="14" width="13.59765625" style="34" customWidth="1"/>
    <col min="15" max="16384" width="9.1328125" style="34"/>
  </cols>
  <sheetData>
    <row r="1" spans="1:14" s="33" customFormat="1" ht="21" customHeight="1">
      <c r="A1" s="37" t="s">
        <v>850</v>
      </c>
      <c r="B1" s="38" t="s">
        <v>851</v>
      </c>
      <c r="C1" s="38"/>
      <c r="D1" s="39" t="s">
        <v>2</v>
      </c>
      <c r="E1" s="39" t="s">
        <v>852</v>
      </c>
      <c r="F1" s="39" t="s">
        <v>853</v>
      </c>
      <c r="G1" s="39" t="s">
        <v>4</v>
      </c>
      <c r="H1" s="39" t="s">
        <v>854</v>
      </c>
      <c r="I1" s="39" t="s">
        <v>5</v>
      </c>
      <c r="J1" s="39" t="s">
        <v>855</v>
      </c>
      <c r="K1" s="39"/>
      <c r="L1" s="39" t="s">
        <v>854</v>
      </c>
      <c r="M1" s="39" t="s">
        <v>856</v>
      </c>
      <c r="N1" s="39" t="s">
        <v>857</v>
      </c>
    </row>
    <row r="2" spans="1:14" ht="18.75" customHeight="1">
      <c r="A2" s="40" t="s">
        <v>858</v>
      </c>
      <c r="B2" s="40" t="s">
        <v>859</v>
      </c>
      <c r="C2" s="41"/>
      <c r="D2" s="42">
        <v>18</v>
      </c>
      <c r="E2" s="42">
        <v>2500</v>
      </c>
      <c r="F2" s="42">
        <v>5000</v>
      </c>
      <c r="G2" s="42">
        <v>2</v>
      </c>
      <c r="H2" s="45">
        <f>(E2*2*0.001+F2*2*0.001)*G2</f>
        <v>30</v>
      </c>
      <c r="I2" s="45" t="s">
        <v>860</v>
      </c>
      <c r="J2" s="46">
        <f>VLOOKUP(D2,BM!$B$3:$Y$58,2,FALSE)</f>
        <v>0.1</v>
      </c>
      <c r="K2" s="46"/>
      <c r="L2" s="46">
        <f>H2*J2</f>
        <v>3</v>
      </c>
      <c r="M2" s="46">
        <v>1</v>
      </c>
      <c r="N2" s="46">
        <f>L2+M2</f>
        <v>4</v>
      </c>
    </row>
    <row r="3" spans="1:14" ht="18.75" customHeight="1">
      <c r="A3" s="40" t="s">
        <v>858</v>
      </c>
      <c r="B3" s="40" t="s">
        <v>859</v>
      </c>
      <c r="C3" s="41"/>
      <c r="D3" s="42">
        <v>18</v>
      </c>
      <c r="E3" s="42">
        <v>2000</v>
      </c>
      <c r="F3" s="42">
        <v>5000</v>
      </c>
      <c r="G3" s="42">
        <v>1</v>
      </c>
      <c r="H3" s="45">
        <f>(E3*2*0.001+F3*2*0.001)*G3</f>
        <v>14</v>
      </c>
      <c r="I3" s="45" t="s">
        <v>860</v>
      </c>
      <c r="J3" s="46">
        <f>VLOOKUP(D3,BM!$B$3:$Y$58,2,FALSE)</f>
        <v>0.1</v>
      </c>
      <c r="K3" s="46"/>
      <c r="L3" s="46">
        <f>H3*J3</f>
        <v>1.4000000000000001</v>
      </c>
      <c r="M3" s="46">
        <v>1</v>
      </c>
      <c r="N3" s="46">
        <f>L3+M3</f>
        <v>2.4000000000000004</v>
      </c>
    </row>
    <row r="4" spans="1:14" ht="18.75" customHeight="1">
      <c r="A4" s="40" t="s">
        <v>858</v>
      </c>
      <c r="B4" s="40" t="s">
        <v>859</v>
      </c>
      <c r="C4" s="41"/>
      <c r="D4" s="42">
        <v>18</v>
      </c>
      <c r="E4" s="42">
        <v>1250</v>
      </c>
      <c r="F4" s="42">
        <v>5000</v>
      </c>
      <c r="G4" s="42">
        <v>1</v>
      </c>
      <c r="H4" s="45">
        <f>(E4*2*0.001+F4*2*0.001)*G4</f>
        <v>12.5</v>
      </c>
      <c r="I4" s="45" t="s">
        <v>860</v>
      </c>
      <c r="J4" s="46">
        <f>VLOOKUP(D4,BM!$B$3:$Y$58,2,FALSE)</f>
        <v>0.1</v>
      </c>
      <c r="K4" s="46"/>
      <c r="L4" s="46">
        <f>H4*J4</f>
        <v>1.25</v>
      </c>
      <c r="M4" s="46">
        <v>1</v>
      </c>
      <c r="N4" s="46">
        <f>L4+M4</f>
        <v>2.25</v>
      </c>
    </row>
    <row r="5" spans="1:14" ht="18.75" customHeight="1">
      <c r="A5" s="35" t="s">
        <v>861</v>
      </c>
      <c r="B5" s="34"/>
      <c r="C5" s="43"/>
    </row>
    <row r="6" spans="1:14" ht="18.75" customHeight="1">
      <c r="A6" s="40" t="s">
        <v>862</v>
      </c>
      <c r="B6" s="40" t="s">
        <v>859</v>
      </c>
      <c r="C6" s="41"/>
      <c r="D6" s="42">
        <v>18</v>
      </c>
      <c r="E6" s="42">
        <v>2500</v>
      </c>
      <c r="F6" s="42">
        <v>5000</v>
      </c>
      <c r="G6" s="42">
        <v>2</v>
      </c>
      <c r="H6" s="45">
        <f>(E6*2*0.001+F6*2*0.001)*G6</f>
        <v>30</v>
      </c>
      <c r="I6" s="45" t="s">
        <v>860</v>
      </c>
      <c r="J6" s="46">
        <f>VLOOKUP(D6,BM!$B$3:$Y$58,3,FALSE)</f>
        <v>0.25</v>
      </c>
      <c r="K6" s="46"/>
      <c r="L6" s="46">
        <f>H6*J6</f>
        <v>7.5</v>
      </c>
      <c r="M6" s="46">
        <v>1</v>
      </c>
      <c r="N6" s="46">
        <f>L6+M6</f>
        <v>8.5</v>
      </c>
    </row>
    <row r="7" spans="1:14" ht="18.75" customHeight="1">
      <c r="A7" s="40" t="s">
        <v>862</v>
      </c>
      <c r="B7" s="40" t="s">
        <v>859</v>
      </c>
      <c r="C7" s="41"/>
      <c r="D7" s="42">
        <v>18</v>
      </c>
      <c r="E7" s="42">
        <v>2000</v>
      </c>
      <c r="F7" s="42">
        <v>5000</v>
      </c>
      <c r="G7" s="42">
        <v>1</v>
      </c>
      <c r="H7" s="45">
        <f>(E7*2*0.001+F7*2*0.001)*G7</f>
        <v>14</v>
      </c>
      <c r="I7" s="45" t="s">
        <v>860</v>
      </c>
      <c r="J7" s="46">
        <f>VLOOKUP(D7,BM!$B$3:$Y$58,3,FALSE)</f>
        <v>0.25</v>
      </c>
      <c r="K7" s="46"/>
      <c r="L7" s="46">
        <f>H7*J7</f>
        <v>3.5</v>
      </c>
      <c r="M7" s="46">
        <v>1</v>
      </c>
      <c r="N7" s="46">
        <f>L7+M7</f>
        <v>4.5</v>
      </c>
    </row>
    <row r="8" spans="1:14" ht="18.75" customHeight="1">
      <c r="A8" s="40" t="s">
        <v>862</v>
      </c>
      <c r="B8" s="40" t="s">
        <v>859</v>
      </c>
      <c r="C8" s="41"/>
      <c r="D8" s="42">
        <v>18</v>
      </c>
      <c r="E8" s="42">
        <v>1250</v>
      </c>
      <c r="F8" s="42">
        <v>5000</v>
      </c>
      <c r="G8" s="42">
        <v>1</v>
      </c>
      <c r="H8" s="45">
        <f>(E8*2*0.001+F8*2*0.001)*G8</f>
        <v>12.5</v>
      </c>
      <c r="I8" s="45" t="s">
        <v>860</v>
      </c>
      <c r="J8" s="46">
        <f>VLOOKUP(D8,BM!$B$3:$Y$58,3,FALSE)</f>
        <v>0.25</v>
      </c>
      <c r="K8" s="46"/>
      <c r="L8" s="46">
        <f>H8*J8</f>
        <v>3.125</v>
      </c>
      <c r="M8" s="46">
        <v>1</v>
      </c>
      <c r="N8" s="46">
        <f>L8+M8</f>
        <v>4.125</v>
      </c>
    </row>
    <row r="9" spans="1:14" ht="18.75" customHeight="1">
      <c r="H9" s="47"/>
      <c r="I9" s="47"/>
      <c r="J9" s="48"/>
      <c r="K9" s="48"/>
      <c r="L9" s="48"/>
      <c r="M9" s="48"/>
      <c r="N9" s="48"/>
    </row>
    <row r="10" spans="1:14" ht="18.75" customHeight="1">
      <c r="A10" s="40" t="s">
        <v>863</v>
      </c>
      <c r="B10" s="40" t="s">
        <v>859</v>
      </c>
      <c r="C10" s="41"/>
      <c r="D10" s="42">
        <v>18</v>
      </c>
      <c r="E10" s="42">
        <v>2500</v>
      </c>
      <c r="F10" s="42">
        <v>5000</v>
      </c>
      <c r="G10" s="42">
        <v>2</v>
      </c>
      <c r="H10" s="45">
        <f>(E10*2*0.001+F10*2*0.001)*G10</f>
        <v>30</v>
      </c>
      <c r="I10" s="45" t="s">
        <v>860</v>
      </c>
      <c r="J10" s="46">
        <f>VLOOKUP(D10,BM!$B$3:$Y$58,4,FALSE)</f>
        <v>0.15</v>
      </c>
      <c r="K10" s="46"/>
      <c r="L10" s="46">
        <f>H10*J10</f>
        <v>4.5</v>
      </c>
      <c r="M10" s="46">
        <v>1</v>
      </c>
      <c r="N10" s="46">
        <f>L10+M10</f>
        <v>5.5</v>
      </c>
    </row>
    <row r="11" spans="1:14" ht="18.75" customHeight="1">
      <c r="A11" s="40" t="s">
        <v>863</v>
      </c>
      <c r="B11" s="40" t="s">
        <v>859</v>
      </c>
      <c r="C11" s="41"/>
      <c r="D11" s="42">
        <v>18</v>
      </c>
      <c r="E11" s="42">
        <v>2000</v>
      </c>
      <c r="F11" s="42">
        <v>5000</v>
      </c>
      <c r="G11" s="42">
        <v>1</v>
      </c>
      <c r="H11" s="45">
        <f>(E11*2*0.001+F11*2*0.001)*G11</f>
        <v>14</v>
      </c>
      <c r="I11" s="45" t="s">
        <v>860</v>
      </c>
      <c r="J11" s="46">
        <f>VLOOKUP(D11,BM!$B$3:$Y$58,4,FALSE)</f>
        <v>0.15</v>
      </c>
      <c r="K11" s="46"/>
      <c r="L11" s="46">
        <f>H11*J11</f>
        <v>2.1</v>
      </c>
      <c r="M11" s="46">
        <v>1</v>
      </c>
      <c r="N11" s="46">
        <f>L11+M11</f>
        <v>3.1</v>
      </c>
    </row>
    <row r="12" spans="1:14" ht="18.75" customHeight="1">
      <c r="A12" s="40" t="s">
        <v>863</v>
      </c>
      <c r="B12" s="40" t="s">
        <v>859</v>
      </c>
      <c r="C12" s="41"/>
      <c r="D12" s="42">
        <v>18</v>
      </c>
      <c r="E12" s="42">
        <v>1250</v>
      </c>
      <c r="F12" s="42">
        <v>5000</v>
      </c>
      <c r="G12" s="42">
        <v>1</v>
      </c>
      <c r="H12" s="45">
        <f>(E12*2*0.001+F12*2*0.001)*G12</f>
        <v>12.5</v>
      </c>
      <c r="I12" s="45" t="s">
        <v>860</v>
      </c>
      <c r="J12" s="46">
        <f>VLOOKUP(D12,BM!$B$3:$Y$58,4,FALSE)</f>
        <v>0.15</v>
      </c>
      <c r="K12" s="46"/>
      <c r="L12" s="46">
        <f>H12*J12</f>
        <v>1.875</v>
      </c>
      <c r="M12" s="46">
        <v>1</v>
      </c>
      <c r="N12" s="46">
        <f>L12+M12</f>
        <v>2.875</v>
      </c>
    </row>
    <row r="13" spans="1:14" ht="18.75" customHeight="1">
      <c r="H13" s="47"/>
      <c r="I13" s="47"/>
      <c r="J13" s="48"/>
      <c r="K13" s="48"/>
      <c r="L13" s="48"/>
      <c r="M13" s="48"/>
      <c r="N13" s="48"/>
    </row>
    <row r="14" spans="1:14" ht="18.75" customHeight="1">
      <c r="A14" s="40" t="s">
        <v>864</v>
      </c>
      <c r="B14" s="40" t="s">
        <v>859</v>
      </c>
      <c r="C14" s="41"/>
      <c r="D14" s="42">
        <v>18</v>
      </c>
      <c r="E14" s="42">
        <v>2500</v>
      </c>
      <c r="F14" s="42">
        <v>5000</v>
      </c>
      <c r="G14" s="42">
        <v>2</v>
      </c>
      <c r="H14" s="45">
        <f>(F14*2*0.001)*G14</f>
        <v>20</v>
      </c>
      <c r="I14" s="45" t="s">
        <v>860</v>
      </c>
      <c r="J14" s="46">
        <f>VLOOKUP(D14,BM!$B$3:$Y$58,5,FALSE)</f>
        <v>0.5</v>
      </c>
      <c r="K14" s="46"/>
      <c r="L14" s="46">
        <f>H14*J14</f>
        <v>10</v>
      </c>
      <c r="M14" s="46">
        <v>1</v>
      </c>
      <c r="N14" s="46">
        <f>L14+M14</f>
        <v>11</v>
      </c>
    </row>
    <row r="15" spans="1:14" ht="18.75" customHeight="1">
      <c r="A15" s="40" t="s">
        <v>864</v>
      </c>
      <c r="B15" s="40" t="s">
        <v>859</v>
      </c>
      <c r="C15" s="41"/>
      <c r="D15" s="42">
        <v>18</v>
      </c>
      <c r="E15" s="42">
        <v>2000</v>
      </c>
      <c r="F15" s="42">
        <v>5000</v>
      </c>
      <c r="G15" s="42">
        <v>1</v>
      </c>
      <c r="H15" s="45">
        <f>(F15*2*0.001)*G15</f>
        <v>10</v>
      </c>
      <c r="I15" s="45" t="s">
        <v>860</v>
      </c>
      <c r="J15" s="46">
        <f>VLOOKUP(D15,BM!$B$3:$Y$58,5,FALSE)</f>
        <v>0.5</v>
      </c>
      <c r="K15" s="46"/>
      <c r="L15" s="46">
        <f>H15*J15</f>
        <v>5</v>
      </c>
      <c r="M15" s="46">
        <v>1</v>
      </c>
      <c r="N15" s="46">
        <f>L15+M15</f>
        <v>6</v>
      </c>
    </row>
    <row r="16" spans="1:14" ht="18.75" customHeight="1">
      <c r="A16" s="40" t="s">
        <v>864</v>
      </c>
      <c r="B16" s="40" t="s">
        <v>859</v>
      </c>
      <c r="C16" s="41"/>
      <c r="D16" s="42">
        <v>18</v>
      </c>
      <c r="E16" s="42">
        <v>1000</v>
      </c>
      <c r="F16" s="42">
        <v>5000</v>
      </c>
      <c r="G16" s="42">
        <v>1</v>
      </c>
      <c r="H16" s="45">
        <f>(F16*2*0.001)*G16</f>
        <v>10</v>
      </c>
      <c r="I16" s="45" t="s">
        <v>860</v>
      </c>
      <c r="J16" s="46">
        <f>VLOOKUP(D16,BM!$B$3:$Y$58,5,FALSE)</f>
        <v>0.5</v>
      </c>
      <c r="K16" s="46"/>
      <c r="L16" s="46">
        <f>H16*J16</f>
        <v>5</v>
      </c>
      <c r="M16" s="46">
        <v>1</v>
      </c>
      <c r="N16" s="46">
        <f>L16+M16</f>
        <v>6</v>
      </c>
    </row>
    <row r="17" spans="1:14" ht="18.75" customHeight="1">
      <c r="H17" s="47"/>
      <c r="I17" s="47"/>
      <c r="J17" s="48"/>
      <c r="K17" s="48"/>
      <c r="L17" s="48"/>
      <c r="M17" s="48"/>
      <c r="N17" s="48"/>
    </row>
    <row r="18" spans="1:14" ht="18.75" customHeight="1">
      <c r="A18" s="40" t="s">
        <v>865</v>
      </c>
      <c r="B18" s="40" t="s">
        <v>859</v>
      </c>
      <c r="C18" s="41"/>
      <c r="D18" s="42">
        <v>18</v>
      </c>
      <c r="E18" s="42">
        <v>2500</v>
      </c>
      <c r="F18" s="42">
        <v>5000</v>
      </c>
      <c r="G18" s="42">
        <v>2</v>
      </c>
      <c r="H18" s="45">
        <f>(F18*2*0.001)*G18</f>
        <v>20</v>
      </c>
      <c r="I18" s="45" t="s">
        <v>860</v>
      </c>
      <c r="J18" s="46">
        <f>VLOOKUP(D18,BM!$B$3:$Y$58,6,FALSE)</f>
        <v>1</v>
      </c>
      <c r="K18" s="46"/>
      <c r="L18" s="46">
        <f>H18*J18</f>
        <v>20</v>
      </c>
      <c r="M18" s="46">
        <v>1</v>
      </c>
      <c r="N18" s="46">
        <f>L18+M18</f>
        <v>21</v>
      </c>
    </row>
    <row r="19" spans="1:14" ht="18.75" customHeight="1">
      <c r="A19" s="40" t="s">
        <v>865</v>
      </c>
      <c r="B19" s="40" t="s">
        <v>859</v>
      </c>
      <c r="C19" s="41"/>
      <c r="D19" s="42">
        <v>18</v>
      </c>
      <c r="E19" s="42">
        <v>2000</v>
      </c>
      <c r="F19" s="42">
        <v>5000</v>
      </c>
      <c r="G19" s="42">
        <v>1</v>
      </c>
      <c r="H19" s="45">
        <f>(F19*2*0.001)*G19</f>
        <v>10</v>
      </c>
      <c r="I19" s="45" t="s">
        <v>860</v>
      </c>
      <c r="J19" s="46">
        <f>VLOOKUP(D19,BM!$B$3:$Y$58,6,FALSE)</f>
        <v>1</v>
      </c>
      <c r="K19" s="46"/>
      <c r="L19" s="46">
        <f>H19*J19</f>
        <v>10</v>
      </c>
      <c r="M19" s="46">
        <v>1</v>
      </c>
      <c r="N19" s="46">
        <f>L19+M19</f>
        <v>11</v>
      </c>
    </row>
    <row r="20" spans="1:14" ht="18.75" customHeight="1">
      <c r="A20" s="40" t="s">
        <v>865</v>
      </c>
      <c r="B20" s="40" t="s">
        <v>859</v>
      </c>
      <c r="C20" s="41"/>
      <c r="D20" s="42">
        <v>18</v>
      </c>
      <c r="E20" s="42">
        <v>1250</v>
      </c>
      <c r="F20" s="42">
        <v>5000</v>
      </c>
      <c r="G20" s="42">
        <v>1</v>
      </c>
      <c r="H20" s="45">
        <f>(F20*2*0.001)*G20</f>
        <v>10</v>
      </c>
      <c r="I20" s="45" t="s">
        <v>860</v>
      </c>
      <c r="J20" s="46">
        <f>VLOOKUP(D20,BM!$B$3:$Y$58,6,FALSE)</f>
        <v>1</v>
      </c>
      <c r="K20" s="46"/>
      <c r="L20" s="46">
        <f>H20*J20</f>
        <v>10</v>
      </c>
      <c r="M20" s="46">
        <v>1</v>
      </c>
      <c r="N20" s="46">
        <f>L20+M20</f>
        <v>11</v>
      </c>
    </row>
    <row r="21" spans="1:14" ht="18.75" customHeight="1">
      <c r="H21" s="47"/>
      <c r="I21" s="47"/>
      <c r="J21" s="48"/>
      <c r="K21" s="48"/>
      <c r="L21" s="48"/>
      <c r="M21" s="48"/>
      <c r="N21" s="48"/>
    </row>
    <row r="22" spans="1:14" ht="18.75" customHeight="1">
      <c r="A22" s="40" t="s">
        <v>866</v>
      </c>
      <c r="B22" s="40" t="s">
        <v>859</v>
      </c>
      <c r="C22" s="41"/>
      <c r="D22" s="42">
        <v>18</v>
      </c>
      <c r="E22" s="42">
        <v>2500</v>
      </c>
      <c r="F22" s="42">
        <v>5000</v>
      </c>
      <c r="G22" s="42">
        <v>1</v>
      </c>
      <c r="H22" s="45">
        <v>1</v>
      </c>
      <c r="I22" s="45" t="s">
        <v>39</v>
      </c>
      <c r="J22" s="46">
        <f>VLOOKUP(D22,BM!$B$3:$Y$58,7,FALSE)</f>
        <v>2</v>
      </c>
      <c r="K22" s="46"/>
      <c r="L22" s="46">
        <f>H22*J22</f>
        <v>2</v>
      </c>
      <c r="M22" s="46">
        <v>1</v>
      </c>
      <c r="N22" s="46">
        <f>L22+M22</f>
        <v>3</v>
      </c>
    </row>
    <row r="23" spans="1:14" ht="18.75" customHeight="1">
      <c r="A23" s="40" t="s">
        <v>866</v>
      </c>
      <c r="B23" s="40" t="s">
        <v>859</v>
      </c>
      <c r="C23" s="41"/>
      <c r="D23" s="42">
        <v>18</v>
      </c>
      <c r="E23" s="42">
        <v>2500</v>
      </c>
      <c r="F23" s="42">
        <v>5000</v>
      </c>
      <c r="G23" s="42">
        <v>1</v>
      </c>
      <c r="H23" s="45">
        <v>1</v>
      </c>
      <c r="I23" s="45" t="s">
        <v>39</v>
      </c>
      <c r="J23" s="46">
        <f>VLOOKUP(D23,BM!$B$3:$Y$58,7,FALSE)</f>
        <v>2</v>
      </c>
      <c r="K23" s="46"/>
      <c r="L23" s="46">
        <f>H23*J23</f>
        <v>2</v>
      </c>
      <c r="M23" s="46">
        <v>1</v>
      </c>
      <c r="N23" s="46">
        <f>L23+M23</f>
        <v>3</v>
      </c>
    </row>
    <row r="24" spans="1:14" ht="18.75" customHeight="1">
      <c r="A24" s="40" t="s">
        <v>866</v>
      </c>
      <c r="B24" s="40" t="s">
        <v>859</v>
      </c>
      <c r="C24" s="41"/>
      <c r="D24" s="42">
        <v>18</v>
      </c>
      <c r="E24" s="42">
        <v>2000</v>
      </c>
      <c r="F24" s="42">
        <v>5000</v>
      </c>
      <c r="G24" s="42">
        <v>1</v>
      </c>
      <c r="H24" s="45">
        <v>1</v>
      </c>
      <c r="I24" s="45" t="s">
        <v>564</v>
      </c>
      <c r="J24" s="46">
        <f>VLOOKUP(D24,BM!$B$3:$Y$58,7,FALSE)</f>
        <v>2</v>
      </c>
      <c r="K24" s="46"/>
      <c r="L24" s="46">
        <f>H24*J24</f>
        <v>2</v>
      </c>
      <c r="M24" s="46">
        <v>1</v>
      </c>
      <c r="N24" s="46">
        <f>L24+M24</f>
        <v>3</v>
      </c>
    </row>
    <row r="25" spans="1:14" ht="18.75" customHeight="1">
      <c r="A25" s="40" t="s">
        <v>866</v>
      </c>
      <c r="B25" s="40" t="s">
        <v>859</v>
      </c>
      <c r="C25" s="41"/>
      <c r="D25" s="42">
        <v>18</v>
      </c>
      <c r="E25" s="42">
        <v>1250</v>
      </c>
      <c r="F25" s="42">
        <v>5000</v>
      </c>
      <c r="G25" s="42">
        <v>1</v>
      </c>
      <c r="H25" s="45">
        <v>1</v>
      </c>
      <c r="I25" s="45" t="s">
        <v>564</v>
      </c>
      <c r="J25" s="46">
        <f>VLOOKUP(D25,BM!$B$3:$Y$58,7,FALSE)</f>
        <v>2</v>
      </c>
      <c r="K25" s="46"/>
      <c r="L25" s="46">
        <f>H25*J25</f>
        <v>2</v>
      </c>
      <c r="M25" s="46">
        <v>1</v>
      </c>
      <c r="N25" s="46">
        <f>L25+M25</f>
        <v>3</v>
      </c>
    </row>
    <row r="26" spans="1:14" ht="18.75" customHeight="1">
      <c r="H26" s="47"/>
      <c r="I26" s="47"/>
      <c r="J26" s="48"/>
      <c r="K26" s="48"/>
      <c r="L26" s="48"/>
      <c r="M26" s="48"/>
      <c r="N26" s="48"/>
    </row>
    <row r="27" spans="1:14" ht="18.75" customHeight="1">
      <c r="A27" s="40" t="s">
        <v>867</v>
      </c>
      <c r="B27" s="40" t="s">
        <v>859</v>
      </c>
      <c r="C27" s="41"/>
      <c r="D27" s="42">
        <v>18</v>
      </c>
      <c r="E27" s="42">
        <v>2500</v>
      </c>
      <c r="F27" s="42">
        <v>5000</v>
      </c>
      <c r="G27" s="42">
        <v>1</v>
      </c>
      <c r="H27" s="45">
        <f>E27*0.001*2</f>
        <v>5</v>
      </c>
      <c r="I27" s="45" t="s">
        <v>860</v>
      </c>
      <c r="J27" s="46">
        <f>VLOOKUP(D27,BM!$B$3:$Y$58,8,FALSE)</f>
        <v>0.3</v>
      </c>
      <c r="K27" s="46"/>
      <c r="L27" s="46">
        <f>H27*J27</f>
        <v>1.5</v>
      </c>
      <c r="M27" s="46">
        <v>1</v>
      </c>
      <c r="N27" s="46">
        <f>L27+M27</f>
        <v>2.5</v>
      </c>
    </row>
    <row r="28" spans="1:14" ht="18.75" customHeight="1">
      <c r="A28" s="40" t="s">
        <v>867</v>
      </c>
      <c r="B28" s="40" t="s">
        <v>859</v>
      </c>
      <c r="C28" s="41"/>
      <c r="D28" s="42">
        <v>18</v>
      </c>
      <c r="E28" s="42">
        <v>2500</v>
      </c>
      <c r="F28" s="42">
        <v>5000</v>
      </c>
      <c r="G28" s="42">
        <v>1</v>
      </c>
      <c r="H28" s="45">
        <f>E28*0.001*2</f>
        <v>5</v>
      </c>
      <c r="I28" s="45" t="s">
        <v>860</v>
      </c>
      <c r="J28" s="46">
        <f>VLOOKUP(D28,BM!$B$3:$Y$58,8,FALSE)</f>
        <v>0.3</v>
      </c>
      <c r="K28" s="46"/>
      <c r="L28" s="46">
        <f>H28*J28</f>
        <v>1.5</v>
      </c>
      <c r="M28" s="46">
        <v>1</v>
      </c>
      <c r="N28" s="46">
        <f>L28+M28</f>
        <v>2.5</v>
      </c>
    </row>
    <row r="29" spans="1:14" ht="18.75" customHeight="1">
      <c r="A29" s="40" t="s">
        <v>867</v>
      </c>
      <c r="B29" s="40" t="s">
        <v>859</v>
      </c>
      <c r="C29" s="41"/>
      <c r="D29" s="42">
        <v>18</v>
      </c>
      <c r="E29" s="42">
        <v>2000</v>
      </c>
      <c r="F29" s="42">
        <v>5000</v>
      </c>
      <c r="G29" s="42">
        <v>1</v>
      </c>
      <c r="H29" s="45">
        <f>E29*0.001*2</f>
        <v>4</v>
      </c>
      <c r="I29" s="45" t="s">
        <v>860</v>
      </c>
      <c r="J29" s="46">
        <f>VLOOKUP(D29,BM!$B$3:$Y$58,8,FALSE)</f>
        <v>0.3</v>
      </c>
      <c r="K29" s="46"/>
      <c r="L29" s="46">
        <f>H29*J29</f>
        <v>1.2</v>
      </c>
      <c r="M29" s="46">
        <v>1</v>
      </c>
      <c r="N29" s="46">
        <f>L29+M29</f>
        <v>2.2000000000000002</v>
      </c>
    </row>
    <row r="30" spans="1:14" ht="18.75" customHeight="1">
      <c r="A30" s="40" t="s">
        <v>867</v>
      </c>
      <c r="B30" s="40" t="s">
        <v>859</v>
      </c>
      <c r="C30" s="41"/>
      <c r="D30" s="42">
        <v>18</v>
      </c>
      <c r="E30" s="42">
        <v>1250</v>
      </c>
      <c r="F30" s="42">
        <v>5000</v>
      </c>
      <c r="G30" s="42">
        <v>1</v>
      </c>
      <c r="H30" s="45">
        <f>E30*0.001*2</f>
        <v>2.5</v>
      </c>
      <c r="I30" s="45" t="s">
        <v>860</v>
      </c>
      <c r="J30" s="46">
        <f>VLOOKUP(D30,BM!$B$3:$Y$58,8,FALSE)</f>
        <v>0.3</v>
      </c>
      <c r="K30" s="46"/>
      <c r="L30" s="46">
        <f>H30*J30</f>
        <v>0.75</v>
      </c>
      <c r="M30" s="46">
        <v>1</v>
      </c>
      <c r="N30" s="46">
        <f>L30+M30</f>
        <v>1.75</v>
      </c>
    </row>
    <row r="31" spans="1:14" ht="18.75" customHeight="1">
      <c r="H31" s="47"/>
      <c r="I31" s="47"/>
      <c r="J31" s="48"/>
      <c r="K31" s="48"/>
      <c r="L31" s="48"/>
      <c r="M31" s="48"/>
      <c r="N31" s="48"/>
    </row>
    <row r="32" spans="1:14" ht="18.75" customHeight="1">
      <c r="A32" s="40" t="s">
        <v>868</v>
      </c>
      <c r="B32" s="40" t="s">
        <v>859</v>
      </c>
      <c r="C32" s="41"/>
      <c r="D32" s="42">
        <v>18</v>
      </c>
      <c r="E32" s="42">
        <v>2500</v>
      </c>
      <c r="F32" s="42">
        <v>4769</v>
      </c>
      <c r="G32" s="42">
        <v>2</v>
      </c>
      <c r="H32" s="45">
        <f>E32*0.001*2</f>
        <v>5</v>
      </c>
      <c r="I32" s="45" t="s">
        <v>860</v>
      </c>
      <c r="J32" s="46">
        <f>VLOOKUP(D32,BM!$B$3:$Y$58,9,FALSE)</f>
        <v>1</v>
      </c>
      <c r="K32" s="46"/>
      <c r="L32" s="46">
        <f>H32*J32</f>
        <v>5</v>
      </c>
      <c r="M32" s="46">
        <v>1</v>
      </c>
      <c r="N32" s="46">
        <f>L32+M32</f>
        <v>6</v>
      </c>
    </row>
    <row r="33" spans="1:14" ht="18.75" customHeight="1">
      <c r="A33" s="40" t="s">
        <v>868</v>
      </c>
      <c r="B33" s="40" t="s">
        <v>859</v>
      </c>
      <c r="C33" s="41"/>
      <c r="D33" s="42">
        <v>18</v>
      </c>
      <c r="E33" s="42">
        <v>2500</v>
      </c>
      <c r="F33" s="42">
        <v>4769</v>
      </c>
      <c r="G33" s="42">
        <v>1</v>
      </c>
      <c r="H33" s="45">
        <f>E33*0.001*2</f>
        <v>5</v>
      </c>
      <c r="I33" s="45" t="s">
        <v>860</v>
      </c>
      <c r="J33" s="46">
        <f>VLOOKUP(D33,BM!$B$3:$Y$58,9,FALSE)</f>
        <v>1</v>
      </c>
      <c r="K33" s="46"/>
      <c r="L33" s="46">
        <f>H33*J33</f>
        <v>5</v>
      </c>
      <c r="M33" s="46">
        <v>1</v>
      </c>
      <c r="N33" s="46">
        <f>L33+M33</f>
        <v>6</v>
      </c>
    </row>
    <row r="34" spans="1:14" ht="18.75" customHeight="1">
      <c r="A34" s="40" t="s">
        <v>868</v>
      </c>
      <c r="B34" s="40" t="s">
        <v>859</v>
      </c>
      <c r="C34" s="41"/>
      <c r="D34" s="42">
        <v>18</v>
      </c>
      <c r="E34" s="42">
        <v>2000</v>
      </c>
      <c r="F34" s="42">
        <v>4769</v>
      </c>
      <c r="G34" s="42">
        <v>1</v>
      </c>
      <c r="H34" s="45">
        <f>E34*0.001*2</f>
        <v>4</v>
      </c>
      <c r="I34" s="45" t="s">
        <v>860</v>
      </c>
      <c r="J34" s="46">
        <f>VLOOKUP(D34,BM!$B$3:$Y$58,9,FALSE)</f>
        <v>1</v>
      </c>
      <c r="K34" s="46"/>
      <c r="L34" s="46">
        <f>H34*J34</f>
        <v>4</v>
      </c>
      <c r="M34" s="46">
        <v>1</v>
      </c>
      <c r="N34" s="46">
        <f>L34+M34</f>
        <v>5</v>
      </c>
    </row>
    <row r="35" spans="1:14" ht="18.75" customHeight="1">
      <c r="A35" s="40" t="s">
        <v>868</v>
      </c>
      <c r="B35" s="40" t="s">
        <v>859</v>
      </c>
      <c r="C35" s="41"/>
      <c r="D35" s="42">
        <v>18</v>
      </c>
      <c r="E35" s="42">
        <v>1250</v>
      </c>
      <c r="F35" s="42">
        <v>4769</v>
      </c>
      <c r="G35" s="42">
        <v>1</v>
      </c>
      <c r="H35" s="45">
        <f>E35*0.001*2</f>
        <v>2.5</v>
      </c>
      <c r="I35" s="45" t="s">
        <v>860</v>
      </c>
      <c r="J35" s="46">
        <f>VLOOKUP(D35,BM!$B$3:$Y$58,9,FALSE)</f>
        <v>1</v>
      </c>
      <c r="K35" s="46"/>
      <c r="L35" s="46">
        <f>H35*J35</f>
        <v>2.5</v>
      </c>
      <c r="M35" s="46">
        <v>1</v>
      </c>
      <c r="N35" s="46">
        <f>L35+M35</f>
        <v>3.5</v>
      </c>
    </row>
    <row r="36" spans="1:14" ht="18.75" customHeight="1">
      <c r="H36" s="47"/>
      <c r="I36" s="47"/>
      <c r="J36" s="48"/>
      <c r="K36" s="48"/>
      <c r="L36" s="48"/>
      <c r="M36" s="48"/>
      <c r="N36" s="48"/>
    </row>
    <row r="37" spans="1:14" ht="18.75" customHeight="1">
      <c r="A37" s="40" t="s">
        <v>869</v>
      </c>
      <c r="B37" s="40" t="s">
        <v>859</v>
      </c>
      <c r="C37" s="41"/>
      <c r="D37" s="42">
        <v>18</v>
      </c>
      <c r="E37" s="42">
        <v>2500</v>
      </c>
      <c r="F37" s="42">
        <v>4769</v>
      </c>
      <c r="G37" s="42">
        <v>1</v>
      </c>
      <c r="H37" s="45">
        <f>E37*0.001*G37</f>
        <v>2.5</v>
      </c>
      <c r="I37" s="45" t="s">
        <v>870</v>
      </c>
      <c r="J37" s="46">
        <f>VLOOKUP(D37,BM!$B$3:$Y$58,9,FALSE)</f>
        <v>1</v>
      </c>
      <c r="K37" s="46"/>
      <c r="L37" s="46">
        <f>H37*J37</f>
        <v>2.5</v>
      </c>
      <c r="M37" s="46">
        <v>1</v>
      </c>
      <c r="N37" s="46">
        <f>L37+M37</f>
        <v>3.5</v>
      </c>
    </row>
    <row r="38" spans="1:14" ht="18.75" customHeight="1">
      <c r="A38" s="40" t="s">
        <v>869</v>
      </c>
      <c r="B38" s="40" t="s">
        <v>859</v>
      </c>
      <c r="C38" s="41"/>
      <c r="D38" s="42">
        <v>24</v>
      </c>
      <c r="E38" s="42">
        <v>2500</v>
      </c>
      <c r="F38" s="42">
        <v>4769</v>
      </c>
      <c r="G38" s="42">
        <v>1</v>
      </c>
      <c r="H38" s="45">
        <f>E38*0.001*G38</f>
        <v>2.5</v>
      </c>
      <c r="I38" s="45" t="s">
        <v>870</v>
      </c>
      <c r="J38" s="46">
        <f>VLOOKUP(D38,BM!$B$3:$Y$58,9,FALSE)</f>
        <v>1</v>
      </c>
      <c r="K38" s="46"/>
      <c r="L38" s="46">
        <f>H38*J38</f>
        <v>2.5</v>
      </c>
      <c r="M38" s="46">
        <v>1</v>
      </c>
      <c r="N38" s="46">
        <f>L38+M38</f>
        <v>3.5</v>
      </c>
    </row>
    <row r="39" spans="1:14" ht="18.75" customHeight="1">
      <c r="A39" s="40" t="s">
        <v>869</v>
      </c>
      <c r="B39" s="40" t="s">
        <v>859</v>
      </c>
      <c r="C39" s="41"/>
      <c r="D39" s="42">
        <v>24</v>
      </c>
      <c r="E39" s="42">
        <v>2000</v>
      </c>
      <c r="F39" s="42">
        <v>4769</v>
      </c>
      <c r="G39" s="42">
        <v>1</v>
      </c>
      <c r="H39" s="45">
        <f>E39*0.001*G39</f>
        <v>2</v>
      </c>
      <c r="I39" s="45" t="s">
        <v>870</v>
      </c>
      <c r="J39" s="46">
        <f>VLOOKUP(D39,BM!$B$3:$Y$58,9,FALSE)</f>
        <v>1</v>
      </c>
      <c r="K39" s="46"/>
      <c r="L39" s="46">
        <f>H39*J39</f>
        <v>2</v>
      </c>
      <c r="M39" s="46">
        <v>1</v>
      </c>
      <c r="N39" s="46">
        <f>L39+M39</f>
        <v>3</v>
      </c>
    </row>
    <row r="40" spans="1:14" ht="18.75" customHeight="1">
      <c r="A40" s="40" t="s">
        <v>869</v>
      </c>
      <c r="B40" s="40" t="s">
        <v>859</v>
      </c>
      <c r="C40" s="41"/>
      <c r="D40" s="42">
        <v>24</v>
      </c>
      <c r="E40" s="42">
        <v>1250</v>
      </c>
      <c r="F40" s="42">
        <v>4769</v>
      </c>
      <c r="G40" s="42">
        <v>1</v>
      </c>
      <c r="H40" s="45">
        <f>E40*0.001*G40</f>
        <v>1.25</v>
      </c>
      <c r="I40" s="45" t="s">
        <v>870</v>
      </c>
      <c r="J40" s="46">
        <f>VLOOKUP(D40,BM!$B$3:$Y$58,9,FALSE)</f>
        <v>1</v>
      </c>
      <c r="K40" s="46"/>
      <c r="L40" s="46">
        <f>H40*J40</f>
        <v>1.25</v>
      </c>
      <c r="M40" s="46">
        <v>1</v>
      </c>
      <c r="N40" s="46">
        <f>L40+M40</f>
        <v>2.25</v>
      </c>
    </row>
    <row r="41" spans="1:14" ht="18.75" customHeight="1">
      <c r="A41" s="34"/>
      <c r="B41" s="34"/>
      <c r="C41" s="34"/>
    </row>
    <row r="42" spans="1:14" ht="18.75" customHeight="1">
      <c r="A42" s="40" t="s">
        <v>871</v>
      </c>
      <c r="B42" s="40" t="s">
        <v>859</v>
      </c>
      <c r="C42" s="41" t="s">
        <v>581</v>
      </c>
      <c r="D42" s="42">
        <v>24</v>
      </c>
      <c r="E42" s="42">
        <v>2500</v>
      </c>
      <c r="F42" s="42">
        <v>4769</v>
      </c>
      <c r="G42" s="42">
        <v>1</v>
      </c>
      <c r="H42" s="45">
        <v>1</v>
      </c>
      <c r="I42" s="45" t="s">
        <v>39</v>
      </c>
      <c r="J42" s="46">
        <v>3</v>
      </c>
      <c r="K42" s="46"/>
      <c r="L42" s="46">
        <f>H42*J42</f>
        <v>3</v>
      </c>
      <c r="M42" s="46">
        <v>1</v>
      </c>
      <c r="N42" s="46">
        <f>L42+M42</f>
        <v>4</v>
      </c>
    </row>
    <row r="43" spans="1:14" ht="18.75" customHeight="1">
      <c r="A43" s="40" t="s">
        <v>871</v>
      </c>
      <c r="B43" s="40" t="s">
        <v>859</v>
      </c>
      <c r="C43" s="41" t="s">
        <v>581</v>
      </c>
      <c r="D43" s="42">
        <v>24</v>
      </c>
      <c r="E43" s="42">
        <v>2500</v>
      </c>
      <c r="F43" s="42">
        <v>4769</v>
      </c>
      <c r="G43" s="42">
        <v>1</v>
      </c>
      <c r="H43" s="45">
        <v>1</v>
      </c>
      <c r="I43" s="45" t="s">
        <v>39</v>
      </c>
      <c r="J43" s="46">
        <v>3</v>
      </c>
      <c r="K43" s="46"/>
      <c r="L43" s="46">
        <f>H43*J43</f>
        <v>3</v>
      </c>
      <c r="M43" s="46">
        <v>1</v>
      </c>
      <c r="N43" s="46">
        <f>L43+M43</f>
        <v>4</v>
      </c>
    </row>
    <row r="44" spans="1:14" ht="18.75" customHeight="1">
      <c r="A44" s="40" t="s">
        <v>871</v>
      </c>
      <c r="B44" s="40" t="s">
        <v>859</v>
      </c>
      <c r="C44" s="41" t="s">
        <v>581</v>
      </c>
      <c r="D44" s="42">
        <v>24</v>
      </c>
      <c r="E44" s="42">
        <v>2000</v>
      </c>
      <c r="F44" s="42">
        <v>4769</v>
      </c>
      <c r="G44" s="42">
        <v>1</v>
      </c>
      <c r="H44" s="45">
        <v>1</v>
      </c>
      <c r="I44" s="45" t="s">
        <v>39</v>
      </c>
      <c r="J44" s="46">
        <v>3</v>
      </c>
      <c r="K44" s="46"/>
      <c r="L44" s="46">
        <f>H44*J44</f>
        <v>3</v>
      </c>
      <c r="M44" s="46">
        <v>1</v>
      </c>
      <c r="N44" s="46">
        <f>L44+M44</f>
        <v>4</v>
      </c>
    </row>
    <row r="45" spans="1:14" ht="18.75" customHeight="1">
      <c r="A45" s="40" t="s">
        <v>871</v>
      </c>
      <c r="B45" s="40" t="s">
        <v>859</v>
      </c>
      <c r="C45" s="41" t="s">
        <v>581</v>
      </c>
      <c r="D45" s="42">
        <v>24</v>
      </c>
      <c r="E45" s="42">
        <v>1250</v>
      </c>
      <c r="F45" s="42">
        <v>4769</v>
      </c>
      <c r="G45" s="42">
        <v>1</v>
      </c>
      <c r="H45" s="45">
        <v>1</v>
      </c>
      <c r="I45" s="45" t="s">
        <v>39</v>
      </c>
      <c r="J45" s="46">
        <v>3</v>
      </c>
      <c r="K45" s="46"/>
      <c r="L45" s="46">
        <f>H45*J45</f>
        <v>3</v>
      </c>
      <c r="M45" s="46">
        <v>1</v>
      </c>
      <c r="N45" s="46">
        <f>L45+M45</f>
        <v>4</v>
      </c>
    </row>
    <row r="46" spans="1:14" ht="18.75" customHeight="1">
      <c r="H46" s="47"/>
      <c r="I46" s="47"/>
      <c r="J46" s="48"/>
      <c r="K46" s="48"/>
      <c r="L46" s="48"/>
      <c r="M46" s="48"/>
      <c r="N46" s="48"/>
    </row>
    <row r="47" spans="1:14" ht="18.75" customHeight="1">
      <c r="A47" s="40" t="s">
        <v>872</v>
      </c>
      <c r="B47" s="40" t="s">
        <v>859</v>
      </c>
      <c r="C47" s="41"/>
      <c r="D47" s="42">
        <v>24</v>
      </c>
      <c r="E47" s="44">
        <v>2500</v>
      </c>
      <c r="F47" s="42" t="s">
        <v>873</v>
      </c>
      <c r="G47" s="42">
        <v>1</v>
      </c>
      <c r="H47" s="45">
        <f>E47*0.001*G47</f>
        <v>2.5</v>
      </c>
      <c r="I47" s="45" t="s">
        <v>870</v>
      </c>
      <c r="J47" s="46">
        <f>VLOOKUP(D47,BM!$B$3:$Y$58,10,FALSE)</f>
        <v>1</v>
      </c>
      <c r="K47" s="46"/>
      <c r="L47" s="46">
        <f>H47*J47</f>
        <v>2.5</v>
      </c>
      <c r="M47" s="46">
        <v>1</v>
      </c>
      <c r="N47" s="46">
        <f>L47+M47</f>
        <v>3.5</v>
      </c>
    </row>
    <row r="48" spans="1:14" ht="18.75" customHeight="1">
      <c r="A48" s="40" t="s">
        <v>872</v>
      </c>
      <c r="B48" s="40" t="s">
        <v>859</v>
      </c>
      <c r="C48" s="41"/>
      <c r="D48" s="42">
        <v>24</v>
      </c>
      <c r="E48" s="44">
        <v>2500</v>
      </c>
      <c r="F48" s="42" t="s">
        <v>873</v>
      </c>
      <c r="G48" s="42">
        <v>1</v>
      </c>
      <c r="H48" s="45">
        <f>E48*0.001*G48</f>
        <v>2.5</v>
      </c>
      <c r="I48" s="45" t="s">
        <v>870</v>
      </c>
      <c r="J48" s="46">
        <f>VLOOKUP(D48,BM!$B$3:$Y$58,10,FALSE)</f>
        <v>1</v>
      </c>
      <c r="K48" s="46"/>
      <c r="L48" s="46">
        <f>H48*J48</f>
        <v>2.5</v>
      </c>
      <c r="M48" s="46">
        <v>1</v>
      </c>
      <c r="N48" s="46">
        <f>L48+M48</f>
        <v>3.5</v>
      </c>
    </row>
    <row r="49" spans="1:14" ht="18.75" customHeight="1">
      <c r="A49" s="40" t="s">
        <v>872</v>
      </c>
      <c r="B49" s="40" t="s">
        <v>859</v>
      </c>
      <c r="C49" s="41"/>
      <c r="D49" s="42">
        <v>24</v>
      </c>
      <c r="E49" s="44">
        <v>2000</v>
      </c>
      <c r="F49" s="42" t="s">
        <v>873</v>
      </c>
      <c r="G49" s="42">
        <v>1</v>
      </c>
      <c r="H49" s="45">
        <f>E49*0.001*G49</f>
        <v>2</v>
      </c>
      <c r="I49" s="45" t="s">
        <v>870</v>
      </c>
      <c r="J49" s="46">
        <f>VLOOKUP(D49,BM!$B$3:$Y$58,10,FALSE)</f>
        <v>1</v>
      </c>
      <c r="K49" s="46"/>
      <c r="L49" s="46">
        <f>H49*J49</f>
        <v>2</v>
      </c>
      <c r="M49" s="46">
        <v>1</v>
      </c>
      <c r="N49" s="46">
        <f>L49+M49</f>
        <v>3</v>
      </c>
    </row>
    <row r="50" spans="1:14" ht="18.75" customHeight="1">
      <c r="A50" s="40" t="s">
        <v>872</v>
      </c>
      <c r="B50" s="40" t="s">
        <v>859</v>
      </c>
      <c r="C50" s="41"/>
      <c r="D50" s="42">
        <v>24</v>
      </c>
      <c r="E50" s="44">
        <v>1250</v>
      </c>
      <c r="F50" s="42" t="s">
        <v>873</v>
      </c>
      <c r="G50" s="42">
        <v>1</v>
      </c>
      <c r="H50" s="45">
        <f>E50*0.001*G50</f>
        <v>1.25</v>
      </c>
      <c r="I50" s="45" t="s">
        <v>870</v>
      </c>
      <c r="J50" s="46">
        <f>VLOOKUP(D50,BM!$B$3:$Y$58,10,FALSE)</f>
        <v>1</v>
      </c>
      <c r="K50" s="46"/>
      <c r="L50" s="46">
        <f>H50*J50</f>
        <v>1.25</v>
      </c>
      <c r="M50" s="46">
        <v>1</v>
      </c>
      <c r="N50" s="46">
        <f>L50+M50</f>
        <v>2.25</v>
      </c>
    </row>
    <row r="51" spans="1:14" ht="18.75" customHeight="1">
      <c r="H51" s="47"/>
      <c r="I51" s="47"/>
      <c r="J51" s="48"/>
      <c r="K51" s="48"/>
      <c r="L51" s="48"/>
      <c r="M51" s="48"/>
      <c r="N51" s="48"/>
    </row>
    <row r="52" spans="1:14" ht="18.75" customHeight="1">
      <c r="A52" s="40" t="s">
        <v>874</v>
      </c>
      <c r="B52" s="40" t="s">
        <v>859</v>
      </c>
      <c r="C52" s="41" t="s">
        <v>581</v>
      </c>
      <c r="D52" s="42">
        <v>24</v>
      </c>
      <c r="E52" s="44">
        <v>2500</v>
      </c>
      <c r="F52" s="42" t="s">
        <v>873</v>
      </c>
      <c r="G52" s="42">
        <v>1</v>
      </c>
      <c r="H52" s="45">
        <f>E52*0.001*G52</f>
        <v>2.5</v>
      </c>
      <c r="I52" s="45" t="s">
        <v>870</v>
      </c>
      <c r="J52" s="46">
        <v>1</v>
      </c>
      <c r="K52" s="46"/>
      <c r="L52" s="46">
        <f>H52*J52</f>
        <v>2.5</v>
      </c>
      <c r="M52" s="46">
        <v>1</v>
      </c>
      <c r="N52" s="46">
        <f>L52+M52</f>
        <v>3.5</v>
      </c>
    </row>
    <row r="53" spans="1:14" ht="18.75" customHeight="1">
      <c r="A53" s="40" t="s">
        <v>874</v>
      </c>
      <c r="B53" s="40" t="s">
        <v>859</v>
      </c>
      <c r="C53" s="41" t="s">
        <v>581</v>
      </c>
      <c r="D53" s="42">
        <v>24</v>
      </c>
      <c r="E53" s="44">
        <v>2500</v>
      </c>
      <c r="F53" s="42" t="s">
        <v>873</v>
      </c>
      <c r="G53" s="42">
        <v>1</v>
      </c>
      <c r="H53" s="45">
        <f t="shared" ref="H53:H55" si="0">E53*0.001*G53</f>
        <v>2.5</v>
      </c>
      <c r="I53" s="45" t="s">
        <v>870</v>
      </c>
      <c r="J53" s="46">
        <v>1</v>
      </c>
      <c r="K53" s="46"/>
      <c r="L53" s="46">
        <f t="shared" ref="L53:L55" si="1">H53*J53</f>
        <v>2.5</v>
      </c>
      <c r="M53" s="46">
        <v>1</v>
      </c>
      <c r="N53" s="46">
        <f t="shared" ref="N53:N55" si="2">L53+M53</f>
        <v>3.5</v>
      </c>
    </row>
    <row r="54" spans="1:14" ht="18.75" customHeight="1">
      <c r="A54" s="40" t="s">
        <v>874</v>
      </c>
      <c r="B54" s="40" t="s">
        <v>859</v>
      </c>
      <c r="C54" s="41" t="s">
        <v>581</v>
      </c>
      <c r="D54" s="42">
        <v>24</v>
      </c>
      <c r="E54" s="44">
        <v>2000</v>
      </c>
      <c r="F54" s="42" t="s">
        <v>873</v>
      </c>
      <c r="G54" s="42">
        <v>1</v>
      </c>
      <c r="H54" s="45">
        <f t="shared" si="0"/>
        <v>2</v>
      </c>
      <c r="I54" s="45" t="s">
        <v>870</v>
      </c>
      <c r="J54" s="46">
        <v>1</v>
      </c>
      <c r="K54" s="46"/>
      <c r="L54" s="46">
        <f t="shared" si="1"/>
        <v>2</v>
      </c>
      <c r="M54" s="46">
        <v>1</v>
      </c>
      <c r="N54" s="46">
        <f t="shared" si="2"/>
        <v>3</v>
      </c>
    </row>
    <row r="55" spans="1:14" ht="18.75" customHeight="1">
      <c r="A55" s="40" t="s">
        <v>874</v>
      </c>
      <c r="B55" s="40" t="s">
        <v>859</v>
      </c>
      <c r="C55" s="41" t="s">
        <v>581</v>
      </c>
      <c r="D55" s="42">
        <v>24</v>
      </c>
      <c r="E55" s="44">
        <v>1250</v>
      </c>
      <c r="F55" s="42" t="s">
        <v>873</v>
      </c>
      <c r="G55" s="42">
        <v>1</v>
      </c>
      <c r="H55" s="45">
        <f t="shared" si="0"/>
        <v>1.25</v>
      </c>
      <c r="I55" s="45" t="s">
        <v>870</v>
      </c>
      <c r="J55" s="46">
        <v>1</v>
      </c>
      <c r="K55" s="46"/>
      <c r="L55" s="46">
        <f t="shared" si="1"/>
        <v>1.25</v>
      </c>
      <c r="M55" s="46">
        <v>1</v>
      </c>
      <c r="N55" s="46">
        <f t="shared" si="2"/>
        <v>2.25</v>
      </c>
    </row>
    <row r="56" spans="1:14" ht="18.75" customHeight="1">
      <c r="H56" s="47"/>
      <c r="I56" s="47"/>
      <c r="J56" s="48"/>
      <c r="K56" s="48"/>
      <c r="L56" s="48"/>
      <c r="M56" s="48"/>
      <c r="N56" s="48"/>
    </row>
    <row r="57" spans="1:14" ht="18.75" customHeight="1">
      <c r="A57" s="40" t="s">
        <v>875</v>
      </c>
      <c r="B57" s="40" t="s">
        <v>859</v>
      </c>
      <c r="C57" s="41" t="s">
        <v>581</v>
      </c>
      <c r="D57" s="42">
        <v>24</v>
      </c>
      <c r="E57" s="42">
        <v>2500</v>
      </c>
      <c r="F57" s="42" t="s">
        <v>873</v>
      </c>
      <c r="G57" s="42">
        <v>1</v>
      </c>
      <c r="H57" s="45">
        <v>1</v>
      </c>
      <c r="I57" s="45" t="s">
        <v>39</v>
      </c>
      <c r="J57" s="49">
        <v>2</v>
      </c>
      <c r="K57" s="49"/>
      <c r="L57" s="46">
        <f>H57*J57</f>
        <v>2</v>
      </c>
      <c r="M57" s="46">
        <v>1</v>
      </c>
      <c r="N57" s="46">
        <f>L57+M57</f>
        <v>3</v>
      </c>
    </row>
    <row r="58" spans="1:14" ht="18.75" customHeight="1">
      <c r="A58" s="40" t="s">
        <v>875</v>
      </c>
      <c r="B58" s="40" t="s">
        <v>859</v>
      </c>
      <c r="C58" s="41" t="s">
        <v>581</v>
      </c>
      <c r="D58" s="42">
        <v>24</v>
      </c>
      <c r="E58" s="42">
        <v>2500</v>
      </c>
      <c r="F58" s="42" t="s">
        <v>873</v>
      </c>
      <c r="G58" s="42">
        <v>1</v>
      </c>
      <c r="H58" s="45">
        <v>1</v>
      </c>
      <c r="I58" s="45" t="s">
        <v>39</v>
      </c>
      <c r="J58" s="49">
        <v>2</v>
      </c>
      <c r="K58" s="49"/>
      <c r="L58" s="46">
        <f>H58*J58</f>
        <v>2</v>
      </c>
      <c r="M58" s="46">
        <v>1</v>
      </c>
      <c r="N58" s="46">
        <f>L58+M58</f>
        <v>3</v>
      </c>
    </row>
    <row r="59" spans="1:14" ht="18.75" customHeight="1">
      <c r="A59" s="40" t="s">
        <v>875</v>
      </c>
      <c r="B59" s="40" t="s">
        <v>859</v>
      </c>
      <c r="C59" s="41" t="s">
        <v>581</v>
      </c>
      <c r="D59" s="42">
        <v>24</v>
      </c>
      <c r="E59" s="42">
        <v>2000</v>
      </c>
      <c r="F59" s="42" t="s">
        <v>873</v>
      </c>
      <c r="G59" s="42">
        <v>1</v>
      </c>
      <c r="H59" s="45">
        <v>1</v>
      </c>
      <c r="I59" s="45" t="s">
        <v>39</v>
      </c>
      <c r="J59" s="49">
        <v>2</v>
      </c>
      <c r="K59" s="49"/>
      <c r="L59" s="46">
        <f>H59*J59</f>
        <v>2</v>
      </c>
      <c r="M59" s="46">
        <v>1</v>
      </c>
      <c r="N59" s="46">
        <f>L59+M59</f>
        <v>3</v>
      </c>
    </row>
    <row r="60" spans="1:14" ht="18.75" customHeight="1">
      <c r="A60" s="40" t="s">
        <v>875</v>
      </c>
      <c r="B60" s="40" t="s">
        <v>859</v>
      </c>
      <c r="C60" s="41" t="s">
        <v>581</v>
      </c>
      <c r="D60" s="42">
        <v>24</v>
      </c>
      <c r="E60" s="42">
        <v>1250</v>
      </c>
      <c r="F60" s="42" t="s">
        <v>873</v>
      </c>
      <c r="G60" s="42">
        <v>1</v>
      </c>
      <c r="H60" s="45">
        <v>1</v>
      </c>
      <c r="I60" s="45" t="s">
        <v>39</v>
      </c>
      <c r="J60" s="49">
        <v>2</v>
      </c>
      <c r="K60" s="49"/>
      <c r="L60" s="46">
        <f>H60*J60</f>
        <v>2</v>
      </c>
      <c r="M60" s="46">
        <v>1</v>
      </c>
      <c r="N60" s="46">
        <f>L60+M60</f>
        <v>3</v>
      </c>
    </row>
    <row r="61" spans="1:14" ht="18.75" customHeight="1">
      <c r="H61" s="47"/>
      <c r="I61" s="47"/>
      <c r="J61" s="48"/>
      <c r="K61" s="48"/>
      <c r="L61" s="48"/>
      <c r="M61" s="48"/>
      <c r="N61" s="48"/>
    </row>
    <row r="62" spans="1:14" ht="18.75" customHeight="1">
      <c r="A62" s="40" t="s">
        <v>876</v>
      </c>
      <c r="B62" s="40" t="s">
        <v>859</v>
      </c>
      <c r="C62" s="41"/>
      <c r="D62" s="42">
        <v>12</v>
      </c>
      <c r="E62" s="42">
        <v>2500</v>
      </c>
      <c r="F62" s="42">
        <v>4769</v>
      </c>
      <c r="G62" s="42">
        <v>1</v>
      </c>
      <c r="H62" s="45">
        <f>F62*0.001*G62</f>
        <v>4.7690000000000001</v>
      </c>
      <c r="I62" s="45" t="s">
        <v>39</v>
      </c>
      <c r="J62" s="49">
        <f>VLOOKUP(D62,BM!$B$3:$Y$58,12,FALSE)</f>
        <v>2.5</v>
      </c>
      <c r="K62" s="49"/>
      <c r="L62" s="46">
        <f>H62*J62</f>
        <v>11.922499999999999</v>
      </c>
      <c r="M62" s="46">
        <v>1</v>
      </c>
      <c r="N62" s="46">
        <f>L62+M62</f>
        <v>12.922499999999999</v>
      </c>
    </row>
    <row r="63" spans="1:14" ht="18.75" customHeight="1">
      <c r="A63" s="40" t="s">
        <v>876</v>
      </c>
      <c r="B63" s="40" t="s">
        <v>859</v>
      </c>
      <c r="C63" s="41"/>
      <c r="D63" s="42">
        <v>12</v>
      </c>
      <c r="E63" s="42">
        <v>2500</v>
      </c>
      <c r="F63" s="42">
        <v>4769</v>
      </c>
      <c r="G63" s="42">
        <v>1</v>
      </c>
      <c r="H63" s="45">
        <f t="shared" ref="H63:H65" si="3">F63*0.001*G63</f>
        <v>4.7690000000000001</v>
      </c>
      <c r="I63" s="45" t="s">
        <v>39</v>
      </c>
      <c r="J63" s="49">
        <f>VLOOKUP(D63,BM!$B$3:$Y$58,12,FALSE)</f>
        <v>2.5</v>
      </c>
      <c r="K63" s="49"/>
      <c r="L63" s="46">
        <f>H63*J63</f>
        <v>11.922499999999999</v>
      </c>
      <c r="M63" s="46">
        <v>1</v>
      </c>
      <c r="N63" s="46">
        <f>L63+M63</f>
        <v>12.922499999999999</v>
      </c>
    </row>
    <row r="64" spans="1:14" ht="18.75" customHeight="1">
      <c r="A64" s="40" t="s">
        <v>876</v>
      </c>
      <c r="B64" s="40" t="s">
        <v>859</v>
      </c>
      <c r="C64" s="41"/>
      <c r="D64" s="42">
        <v>12</v>
      </c>
      <c r="E64" s="42">
        <v>2000</v>
      </c>
      <c r="F64" s="42">
        <v>4769</v>
      </c>
      <c r="G64" s="42">
        <v>1</v>
      </c>
      <c r="H64" s="45">
        <f t="shared" si="3"/>
        <v>4.7690000000000001</v>
      </c>
      <c r="I64" s="45" t="s">
        <v>39</v>
      </c>
      <c r="J64" s="49">
        <f>VLOOKUP(D64,BM!$B$3:$Y$58,12,FALSE)</f>
        <v>2.5</v>
      </c>
      <c r="K64" s="49"/>
      <c r="L64" s="46">
        <f>H64*J64</f>
        <v>11.922499999999999</v>
      </c>
      <c r="M64" s="46">
        <v>1</v>
      </c>
      <c r="N64" s="46">
        <f>L64+M64</f>
        <v>12.922499999999999</v>
      </c>
    </row>
    <row r="65" spans="1:14" ht="18.75" customHeight="1">
      <c r="A65" s="40" t="s">
        <v>876</v>
      </c>
      <c r="B65" s="40" t="s">
        <v>859</v>
      </c>
      <c r="C65" s="41"/>
      <c r="D65" s="42">
        <v>12</v>
      </c>
      <c r="E65" s="42">
        <v>1250</v>
      </c>
      <c r="F65" s="42">
        <v>4769</v>
      </c>
      <c r="G65" s="42">
        <v>1</v>
      </c>
      <c r="H65" s="45">
        <f t="shared" si="3"/>
        <v>4.7690000000000001</v>
      </c>
      <c r="I65" s="45" t="s">
        <v>39</v>
      </c>
      <c r="J65" s="49">
        <f>VLOOKUP(D65,BM!$B$3:$Y$58,12,FALSE)</f>
        <v>2.5</v>
      </c>
      <c r="K65" s="49"/>
      <c r="L65" s="46">
        <f>H65*J65</f>
        <v>11.922499999999999</v>
      </c>
      <c r="M65" s="46">
        <v>1</v>
      </c>
      <c r="N65" s="46">
        <f>L65+M65</f>
        <v>12.922499999999999</v>
      </c>
    </row>
    <row r="66" spans="1:14" ht="18.75" customHeight="1">
      <c r="H66" s="47"/>
      <c r="I66" s="47"/>
      <c r="J66" s="48"/>
      <c r="K66" s="48"/>
      <c r="L66" s="48"/>
      <c r="M66" s="48"/>
      <c r="N66" s="48"/>
    </row>
    <row r="67" spans="1:14" ht="18.75" customHeight="1">
      <c r="A67" s="40" t="s">
        <v>877</v>
      </c>
      <c r="B67" s="40" t="s">
        <v>859</v>
      </c>
      <c r="C67" s="41"/>
      <c r="D67" s="42">
        <v>6</v>
      </c>
      <c r="E67" s="42" t="s">
        <v>878</v>
      </c>
      <c r="F67" s="44">
        <v>2500</v>
      </c>
      <c r="G67" s="42">
        <v>1</v>
      </c>
      <c r="H67" s="45">
        <f>F67*0.001*G67</f>
        <v>2.5</v>
      </c>
      <c r="I67" s="45" t="s">
        <v>39</v>
      </c>
      <c r="J67" s="49">
        <f>VLOOKUP(D67,BM!$B$3:$Y$58,18,FALSE)</f>
        <v>1</v>
      </c>
      <c r="K67" s="49"/>
      <c r="L67" s="46">
        <f>H67*J67</f>
        <v>2.5</v>
      </c>
      <c r="M67" s="46">
        <v>1</v>
      </c>
      <c r="N67" s="46">
        <f>L67+M67</f>
        <v>3.5</v>
      </c>
    </row>
    <row r="68" spans="1:14" ht="18.75" customHeight="1">
      <c r="A68" s="40" t="s">
        <v>877</v>
      </c>
      <c r="B68" s="40" t="s">
        <v>859</v>
      </c>
      <c r="C68" s="41"/>
      <c r="D68" s="42">
        <v>6</v>
      </c>
      <c r="E68" s="42" t="s">
        <v>878</v>
      </c>
      <c r="F68" s="44">
        <v>2500</v>
      </c>
      <c r="G68" s="42">
        <v>1</v>
      </c>
      <c r="H68" s="45">
        <f t="shared" ref="H68:H70" si="4">F68*0.001*G68</f>
        <v>2.5</v>
      </c>
      <c r="I68" s="45" t="s">
        <v>39</v>
      </c>
      <c r="J68" s="49">
        <f>VLOOKUP(D68,BM!$B$3:$Y$58,18,FALSE)</f>
        <v>1</v>
      </c>
      <c r="K68" s="49"/>
      <c r="L68" s="46">
        <f>H68*J68</f>
        <v>2.5</v>
      </c>
      <c r="M68" s="46">
        <v>1</v>
      </c>
      <c r="N68" s="46">
        <f>L68+M68</f>
        <v>3.5</v>
      </c>
    </row>
    <row r="69" spans="1:14" ht="18.75" customHeight="1">
      <c r="A69" s="40" t="s">
        <v>877</v>
      </c>
      <c r="B69" s="40" t="s">
        <v>859</v>
      </c>
      <c r="C69" s="41"/>
      <c r="D69" s="42">
        <v>6</v>
      </c>
      <c r="E69" s="42" t="s">
        <v>878</v>
      </c>
      <c r="F69" s="44">
        <v>2500</v>
      </c>
      <c r="G69" s="42">
        <v>1</v>
      </c>
      <c r="H69" s="45">
        <f t="shared" si="4"/>
        <v>2.5</v>
      </c>
      <c r="I69" s="45" t="s">
        <v>39</v>
      </c>
      <c r="J69" s="49">
        <f>VLOOKUP(D69,BM!$B$3:$Y$58,18,FALSE)</f>
        <v>1</v>
      </c>
      <c r="K69" s="49"/>
      <c r="L69" s="46">
        <f>H69*J69</f>
        <v>2.5</v>
      </c>
      <c r="M69" s="46">
        <v>1</v>
      </c>
      <c r="N69" s="46">
        <f>L69+M69</f>
        <v>3.5</v>
      </c>
    </row>
    <row r="70" spans="1:14" ht="18.75" customHeight="1">
      <c r="A70" s="40" t="s">
        <v>877</v>
      </c>
      <c r="B70" s="40" t="s">
        <v>859</v>
      </c>
      <c r="C70" s="41"/>
      <c r="D70" s="42">
        <v>6</v>
      </c>
      <c r="E70" s="42" t="s">
        <v>878</v>
      </c>
      <c r="F70" s="44">
        <v>1250</v>
      </c>
      <c r="G70" s="42">
        <v>1</v>
      </c>
      <c r="H70" s="45">
        <f t="shared" si="4"/>
        <v>1.25</v>
      </c>
      <c r="I70" s="45" t="s">
        <v>39</v>
      </c>
      <c r="J70" s="49">
        <f>VLOOKUP(D70,BM!$B$3:$Y$58,18,FALSE)</f>
        <v>1</v>
      </c>
      <c r="K70" s="49"/>
      <c r="L70" s="46">
        <f>H70*J70</f>
        <v>1.25</v>
      </c>
      <c r="M70" s="46">
        <v>1</v>
      </c>
      <c r="N70" s="46">
        <f>L70+M70</f>
        <v>2.25</v>
      </c>
    </row>
    <row r="71" spans="1:14" ht="18.75" customHeight="1">
      <c r="H71" s="47"/>
      <c r="I71" s="47"/>
      <c r="J71" s="48"/>
      <c r="K71" s="48"/>
      <c r="L71" s="48"/>
      <c r="M71" s="48"/>
      <c r="N71" s="48"/>
    </row>
    <row r="72" spans="1:14" ht="18.75" customHeight="1">
      <c r="A72" s="40" t="s">
        <v>879</v>
      </c>
      <c r="B72" s="40" t="s">
        <v>859</v>
      </c>
      <c r="C72" s="41"/>
      <c r="D72" s="42">
        <v>12</v>
      </c>
      <c r="E72" s="44">
        <v>2500</v>
      </c>
      <c r="F72" s="42" t="s">
        <v>878</v>
      </c>
      <c r="G72" s="42">
        <v>1</v>
      </c>
      <c r="H72" s="45">
        <f>E72*G72*0.001</f>
        <v>2.5</v>
      </c>
      <c r="I72" s="45" t="s">
        <v>249</v>
      </c>
      <c r="J72" s="49">
        <f>VLOOKUP(D72,BM!$B$3:$Y$58,12,FALSE)</f>
        <v>2.5</v>
      </c>
      <c r="K72" s="49"/>
      <c r="L72" s="46">
        <f>H72*J72</f>
        <v>6.25</v>
      </c>
      <c r="M72" s="46">
        <v>1</v>
      </c>
      <c r="N72" s="46">
        <f>L72+M72</f>
        <v>7.25</v>
      </c>
    </row>
    <row r="73" spans="1:14" ht="18.75" customHeight="1">
      <c r="A73" s="40" t="s">
        <v>879</v>
      </c>
      <c r="B73" s="40" t="s">
        <v>859</v>
      </c>
      <c r="C73" s="41"/>
      <c r="D73" s="42">
        <v>12</v>
      </c>
      <c r="E73" s="44">
        <v>2500</v>
      </c>
      <c r="F73" s="42" t="s">
        <v>878</v>
      </c>
      <c r="G73" s="42">
        <v>1</v>
      </c>
      <c r="H73" s="45">
        <f>E73*G73*0.001</f>
        <v>2.5</v>
      </c>
      <c r="I73" s="45" t="s">
        <v>249</v>
      </c>
      <c r="J73" s="49">
        <f>VLOOKUP(D73,BM!$B$3:$Y$58,12,FALSE)</f>
        <v>2.5</v>
      </c>
      <c r="K73" s="49"/>
      <c r="L73" s="46">
        <f>H73*J73</f>
        <v>6.25</v>
      </c>
      <c r="M73" s="46">
        <v>1</v>
      </c>
      <c r="N73" s="46">
        <f>L73+M73</f>
        <v>7.25</v>
      </c>
    </row>
    <row r="74" spans="1:14" ht="18.75" customHeight="1">
      <c r="A74" s="40" t="s">
        <v>879</v>
      </c>
      <c r="B74" s="40" t="s">
        <v>859</v>
      </c>
      <c r="C74" s="41"/>
      <c r="D74" s="42">
        <v>12</v>
      </c>
      <c r="E74" s="44">
        <v>2000</v>
      </c>
      <c r="F74" s="42" t="s">
        <v>878</v>
      </c>
      <c r="G74" s="42">
        <v>1</v>
      </c>
      <c r="H74" s="45">
        <f>E74*G74*0.001</f>
        <v>2</v>
      </c>
      <c r="I74" s="45" t="s">
        <v>249</v>
      </c>
      <c r="J74" s="49">
        <f>VLOOKUP(D74,BM!$B$3:$Y$58,12,FALSE)</f>
        <v>2.5</v>
      </c>
      <c r="K74" s="49"/>
      <c r="L74" s="46">
        <f>H74*J74</f>
        <v>5</v>
      </c>
      <c r="M74" s="46">
        <v>1</v>
      </c>
      <c r="N74" s="46">
        <f>L74+M74</f>
        <v>6</v>
      </c>
    </row>
    <row r="75" spans="1:14" ht="18.75" customHeight="1">
      <c r="A75" s="40" t="s">
        <v>879</v>
      </c>
      <c r="B75" s="40" t="s">
        <v>859</v>
      </c>
      <c r="C75" s="41"/>
      <c r="D75" s="42">
        <v>12</v>
      </c>
      <c r="E75" s="44">
        <v>1250</v>
      </c>
      <c r="F75" s="42" t="s">
        <v>878</v>
      </c>
      <c r="G75" s="42">
        <v>1</v>
      </c>
      <c r="H75" s="45">
        <f>E75*G75*0.001</f>
        <v>1.25</v>
      </c>
      <c r="I75" s="45" t="s">
        <v>249</v>
      </c>
      <c r="J75" s="49">
        <f>VLOOKUP(D75,BM!$B$3:$Y$58,12,FALSE)</f>
        <v>2.5</v>
      </c>
      <c r="K75" s="49"/>
      <c r="L75" s="46">
        <f>H75*J75</f>
        <v>3.125</v>
      </c>
      <c r="M75" s="46">
        <v>1</v>
      </c>
      <c r="N75" s="46">
        <f>L75+M75</f>
        <v>4.125</v>
      </c>
    </row>
    <row r="76" spans="1:14" ht="18.75" customHeight="1">
      <c r="H76" s="47"/>
      <c r="I76" s="47"/>
      <c r="J76" s="48"/>
      <c r="K76" s="48"/>
      <c r="L76" s="48"/>
      <c r="M76" s="48"/>
      <c r="N76" s="48"/>
    </row>
    <row r="77" spans="1:14" ht="18.75" customHeight="1">
      <c r="A77" s="40" t="s">
        <v>880</v>
      </c>
      <c r="B77" s="40" t="s">
        <v>859</v>
      </c>
      <c r="C77" s="41"/>
      <c r="D77" s="42">
        <v>12</v>
      </c>
      <c r="E77" s="44">
        <v>2500</v>
      </c>
      <c r="F77" s="42" t="s">
        <v>878</v>
      </c>
      <c r="G77" s="42">
        <v>1</v>
      </c>
      <c r="H77" s="45">
        <f>E77*G77*0.001</f>
        <v>2.5</v>
      </c>
      <c r="I77" s="45" t="s">
        <v>870</v>
      </c>
      <c r="J77" s="49">
        <f>VLOOKUP(D77,BM!$B$3:$Y$58,20,FALSE)</f>
        <v>0.5</v>
      </c>
      <c r="K77" s="49"/>
      <c r="L77" s="46">
        <f>H77*J77</f>
        <v>1.25</v>
      </c>
      <c r="M77" s="46">
        <v>1</v>
      </c>
      <c r="N77" s="46">
        <f>L77+M77</f>
        <v>2.25</v>
      </c>
    </row>
    <row r="78" spans="1:14" ht="18.75" customHeight="1">
      <c r="A78" s="40" t="s">
        <v>880</v>
      </c>
      <c r="B78" s="40" t="s">
        <v>859</v>
      </c>
      <c r="C78" s="41"/>
      <c r="D78" s="42">
        <v>12</v>
      </c>
      <c r="E78" s="44">
        <v>2500</v>
      </c>
      <c r="F78" s="42" t="s">
        <v>878</v>
      </c>
      <c r="G78" s="42">
        <v>1</v>
      </c>
      <c r="H78" s="45">
        <f>E78*G78*0.001</f>
        <v>2.5</v>
      </c>
      <c r="I78" s="45" t="s">
        <v>870</v>
      </c>
      <c r="J78" s="49">
        <f>VLOOKUP(D78,BM!$B$3:$Y$58,20,FALSE)</f>
        <v>0.5</v>
      </c>
      <c r="K78" s="49"/>
      <c r="L78" s="46">
        <f>H78*J78</f>
        <v>1.25</v>
      </c>
      <c r="M78" s="46">
        <v>1</v>
      </c>
      <c r="N78" s="46">
        <f>L78+M78</f>
        <v>2.25</v>
      </c>
    </row>
    <row r="79" spans="1:14" ht="18.75" customHeight="1">
      <c r="A79" s="40" t="s">
        <v>880</v>
      </c>
      <c r="B79" s="40" t="s">
        <v>859</v>
      </c>
      <c r="C79" s="41"/>
      <c r="D79" s="42">
        <v>12</v>
      </c>
      <c r="E79" s="44">
        <v>2000</v>
      </c>
      <c r="F79" s="42" t="s">
        <v>878</v>
      </c>
      <c r="G79" s="42">
        <v>1</v>
      </c>
      <c r="H79" s="45">
        <f>E79*G79*0.001</f>
        <v>2</v>
      </c>
      <c r="I79" s="45" t="s">
        <v>870</v>
      </c>
      <c r="J79" s="49">
        <f>VLOOKUP(D79,BM!$B$3:$Y$58,20,FALSE)</f>
        <v>0.5</v>
      </c>
      <c r="K79" s="49"/>
      <c r="L79" s="46">
        <f>H79*J79</f>
        <v>1</v>
      </c>
      <c r="M79" s="46">
        <v>1</v>
      </c>
      <c r="N79" s="46">
        <f>L79+M79</f>
        <v>2</v>
      </c>
    </row>
    <row r="80" spans="1:14" ht="18.75" customHeight="1">
      <c r="A80" s="40" t="s">
        <v>880</v>
      </c>
      <c r="B80" s="40" t="s">
        <v>859</v>
      </c>
      <c r="C80" s="41"/>
      <c r="D80" s="42">
        <v>12</v>
      </c>
      <c r="E80" s="44">
        <v>1250</v>
      </c>
      <c r="F80" s="42" t="s">
        <v>878</v>
      </c>
      <c r="G80" s="42">
        <v>1</v>
      </c>
      <c r="H80" s="45">
        <f>E80*G80*0.001</f>
        <v>1.25</v>
      </c>
      <c r="I80" s="45" t="s">
        <v>870</v>
      </c>
      <c r="J80" s="49">
        <f>VLOOKUP(D80,BM!$B$3:$Y$58,20,FALSE)</f>
        <v>0.5</v>
      </c>
      <c r="K80" s="49"/>
      <c r="L80" s="46">
        <f>H80*J80</f>
        <v>0.625</v>
      </c>
      <c r="M80" s="46">
        <v>1</v>
      </c>
      <c r="N80" s="46">
        <f>L80+M80</f>
        <v>1.625</v>
      </c>
    </row>
    <row r="81" spans="1:14" ht="18.75" customHeight="1">
      <c r="H81" s="47"/>
      <c r="I81" s="47"/>
      <c r="J81" s="48"/>
      <c r="K81" s="48"/>
      <c r="L81" s="48"/>
      <c r="M81" s="48"/>
      <c r="N81" s="48"/>
    </row>
    <row r="82" spans="1:14" ht="18.75" customHeight="1">
      <c r="A82" s="40" t="s">
        <v>881</v>
      </c>
      <c r="B82" s="40" t="s">
        <v>859</v>
      </c>
      <c r="C82" s="41" t="s">
        <v>581</v>
      </c>
      <c r="D82" s="42">
        <v>12</v>
      </c>
      <c r="E82" s="42" t="s">
        <v>882</v>
      </c>
      <c r="F82" s="42">
        <v>5000</v>
      </c>
      <c r="G82" s="42">
        <v>1</v>
      </c>
      <c r="H82" s="45">
        <v>1</v>
      </c>
      <c r="I82" s="45" t="s">
        <v>39</v>
      </c>
      <c r="J82" s="49">
        <f>VLOOKUP(D82,BM!$B$3:$Y$58,20,FALSE)</f>
        <v>0.5</v>
      </c>
      <c r="K82" s="49"/>
      <c r="L82" s="46">
        <f>H82*J82</f>
        <v>0.5</v>
      </c>
      <c r="M82" s="46">
        <v>1</v>
      </c>
      <c r="N82" s="46">
        <f>L82+M82</f>
        <v>1.5</v>
      </c>
    </row>
    <row r="83" spans="1:14" ht="18.75" customHeight="1">
      <c r="A83" s="40" t="s">
        <v>881</v>
      </c>
      <c r="B83" s="40" t="s">
        <v>859</v>
      </c>
      <c r="C83" s="41" t="s">
        <v>581</v>
      </c>
      <c r="D83" s="42">
        <v>12</v>
      </c>
      <c r="E83" s="42" t="s">
        <v>882</v>
      </c>
      <c r="F83" s="42">
        <v>5000</v>
      </c>
      <c r="G83" s="42">
        <v>1</v>
      </c>
      <c r="H83" s="45">
        <v>1</v>
      </c>
      <c r="I83" s="45" t="s">
        <v>39</v>
      </c>
      <c r="J83" s="49">
        <f>VLOOKUP(D83,BM!$B$3:$Y$58,20,FALSE)</f>
        <v>0.5</v>
      </c>
      <c r="K83" s="49"/>
      <c r="L83" s="46">
        <f>H83*J83</f>
        <v>0.5</v>
      </c>
      <c r="M83" s="46">
        <v>1</v>
      </c>
      <c r="N83" s="46">
        <f>L83+M83</f>
        <v>1.5</v>
      </c>
    </row>
    <row r="84" spans="1:14" ht="18.75" customHeight="1">
      <c r="A84" s="40" t="s">
        <v>881</v>
      </c>
      <c r="B84" s="40" t="s">
        <v>859</v>
      </c>
      <c r="C84" s="41" t="s">
        <v>581</v>
      </c>
      <c r="D84" s="42">
        <v>12</v>
      </c>
      <c r="E84" s="42" t="s">
        <v>882</v>
      </c>
      <c r="F84" s="42">
        <v>5000</v>
      </c>
      <c r="G84" s="42">
        <v>1</v>
      </c>
      <c r="H84" s="45">
        <v>1</v>
      </c>
      <c r="I84" s="45" t="s">
        <v>39</v>
      </c>
      <c r="J84" s="49">
        <f>VLOOKUP(D84,BM!$B$3:$Y$58,20,FALSE)</f>
        <v>0.5</v>
      </c>
      <c r="K84" s="49"/>
      <c r="L84" s="46">
        <f>H84*J84</f>
        <v>0.5</v>
      </c>
      <c r="M84" s="46">
        <v>1</v>
      </c>
      <c r="N84" s="46">
        <f>L84+M84</f>
        <v>1.5</v>
      </c>
    </row>
    <row r="85" spans="1:14" ht="18.75" customHeight="1">
      <c r="A85" s="40" t="s">
        <v>881</v>
      </c>
      <c r="B85" s="40" t="s">
        <v>859</v>
      </c>
      <c r="C85" s="41" t="s">
        <v>581</v>
      </c>
      <c r="D85" s="42">
        <v>12</v>
      </c>
      <c r="E85" s="42" t="s">
        <v>882</v>
      </c>
      <c r="F85" s="42">
        <v>5000</v>
      </c>
      <c r="G85" s="42">
        <v>1</v>
      </c>
      <c r="H85" s="45">
        <v>1</v>
      </c>
      <c r="I85" s="45" t="s">
        <v>39</v>
      </c>
      <c r="J85" s="49">
        <f>VLOOKUP(D85,BM!$B$3:$Y$58,20,FALSE)</f>
        <v>0.5</v>
      </c>
      <c r="K85" s="49"/>
      <c r="L85" s="46">
        <f>H85*J85</f>
        <v>0.5</v>
      </c>
      <c r="M85" s="46">
        <v>1</v>
      </c>
      <c r="N85" s="46">
        <f>L85+M85</f>
        <v>1.5</v>
      </c>
    </row>
    <row r="86" spans="1:14" ht="18.75" customHeight="1">
      <c r="H86" s="47"/>
      <c r="I86" s="47"/>
      <c r="J86" s="48"/>
      <c r="K86" s="48"/>
      <c r="L86" s="48"/>
      <c r="M86" s="48"/>
      <c r="N86" s="48"/>
    </row>
    <row r="87" spans="1:14" ht="18.75" customHeight="1">
      <c r="A87" s="40" t="s">
        <v>883</v>
      </c>
      <c r="B87" s="40" t="s">
        <v>859</v>
      </c>
      <c r="C87" s="41" t="s">
        <v>581</v>
      </c>
      <c r="D87" s="42">
        <v>12</v>
      </c>
      <c r="E87" s="42" t="s">
        <v>884</v>
      </c>
      <c r="F87" s="42" t="s">
        <v>885</v>
      </c>
      <c r="G87" s="42">
        <v>1</v>
      </c>
      <c r="H87" s="45">
        <v>1</v>
      </c>
      <c r="I87" s="45" t="s">
        <v>39</v>
      </c>
      <c r="J87" s="49" t="s">
        <v>886</v>
      </c>
      <c r="K87" s="49"/>
      <c r="L87" s="46"/>
      <c r="M87" s="46"/>
      <c r="N87" s="46" t="str">
        <f>J87</f>
        <v>1 DAY</v>
      </c>
    </row>
    <row r="88" spans="1:14" ht="18.75" customHeight="1">
      <c r="A88" s="40" t="s">
        <v>883</v>
      </c>
      <c r="B88" s="40" t="s">
        <v>859</v>
      </c>
      <c r="C88" s="41" t="s">
        <v>581</v>
      </c>
      <c r="D88" s="42">
        <v>12</v>
      </c>
      <c r="E88" s="42" t="s">
        <v>884</v>
      </c>
      <c r="F88" s="42" t="s">
        <v>885</v>
      </c>
      <c r="G88" s="42">
        <v>1</v>
      </c>
      <c r="H88" s="45">
        <v>1</v>
      </c>
      <c r="I88" s="45" t="s">
        <v>39</v>
      </c>
      <c r="J88" s="49" t="s">
        <v>886</v>
      </c>
      <c r="K88" s="49"/>
      <c r="L88" s="46"/>
      <c r="M88" s="46"/>
      <c r="N88" s="46" t="str">
        <f t="shared" ref="N88:N90" si="5">J88</f>
        <v>1 DAY</v>
      </c>
    </row>
    <row r="89" spans="1:14" ht="18.75" customHeight="1">
      <c r="A89" s="40" t="s">
        <v>883</v>
      </c>
      <c r="B89" s="40" t="s">
        <v>859</v>
      </c>
      <c r="C89" s="41" t="s">
        <v>581</v>
      </c>
      <c r="D89" s="42">
        <v>12</v>
      </c>
      <c r="E89" s="42" t="s">
        <v>884</v>
      </c>
      <c r="F89" s="42" t="s">
        <v>887</v>
      </c>
      <c r="G89" s="42">
        <v>1</v>
      </c>
      <c r="H89" s="45">
        <v>1</v>
      </c>
      <c r="I89" s="45" t="s">
        <v>39</v>
      </c>
      <c r="J89" s="49" t="s">
        <v>886</v>
      </c>
      <c r="K89" s="49"/>
      <c r="L89" s="46"/>
      <c r="M89" s="46"/>
      <c r="N89" s="46" t="str">
        <f t="shared" si="5"/>
        <v>1 DAY</v>
      </c>
    </row>
    <row r="90" spans="1:14" ht="18.75" customHeight="1">
      <c r="A90" s="40" t="s">
        <v>883</v>
      </c>
      <c r="B90" s="40" t="s">
        <v>859</v>
      </c>
      <c r="C90" s="41" t="s">
        <v>581</v>
      </c>
      <c r="D90" s="42">
        <v>12</v>
      </c>
      <c r="E90" s="42" t="s">
        <v>884</v>
      </c>
      <c r="F90" s="42" t="s">
        <v>888</v>
      </c>
      <c r="G90" s="42">
        <v>1</v>
      </c>
      <c r="H90" s="45">
        <v>1</v>
      </c>
      <c r="I90" s="45" t="s">
        <v>39</v>
      </c>
      <c r="J90" s="49" t="s">
        <v>886</v>
      </c>
      <c r="K90" s="49"/>
      <c r="L90" s="46"/>
      <c r="M90" s="46"/>
      <c r="N90" s="46" t="str">
        <f t="shared" si="5"/>
        <v>1 DAY</v>
      </c>
    </row>
    <row r="91" spans="1:14" ht="18.75" customHeight="1">
      <c r="H91" s="47"/>
      <c r="I91" s="47"/>
      <c r="J91" s="48"/>
      <c r="K91" s="48"/>
      <c r="L91" s="48"/>
      <c r="M91" s="48"/>
      <c r="N91" s="48"/>
    </row>
    <row r="92" spans="1:14" ht="18.75" customHeight="1">
      <c r="A92" s="40" t="s">
        <v>889</v>
      </c>
      <c r="B92" s="40" t="s">
        <v>859</v>
      </c>
      <c r="C92" s="41" t="s">
        <v>581</v>
      </c>
      <c r="D92" s="42">
        <v>24</v>
      </c>
      <c r="E92" s="42">
        <v>2500</v>
      </c>
      <c r="F92" s="44">
        <v>4945</v>
      </c>
      <c r="G92" s="42">
        <v>1</v>
      </c>
      <c r="H92" s="45">
        <f>F92*0.001*G92</f>
        <v>4.9450000000000003</v>
      </c>
      <c r="I92" s="45" t="s">
        <v>870</v>
      </c>
      <c r="J92" s="49">
        <v>1</v>
      </c>
      <c r="K92" s="49"/>
      <c r="L92" s="46">
        <f>H92*J92</f>
        <v>4.9450000000000003</v>
      </c>
      <c r="M92" s="46">
        <v>1</v>
      </c>
      <c r="N92" s="46">
        <f>L92+M92</f>
        <v>5.9450000000000003</v>
      </c>
    </row>
    <row r="93" spans="1:14" ht="18.75" customHeight="1">
      <c r="A93" s="40" t="s">
        <v>889</v>
      </c>
      <c r="B93" s="40" t="s">
        <v>859</v>
      </c>
      <c r="C93" s="41" t="s">
        <v>581</v>
      </c>
      <c r="D93" s="42">
        <v>24</v>
      </c>
      <c r="E93" s="42">
        <v>2500</v>
      </c>
      <c r="F93" s="44">
        <v>4945</v>
      </c>
      <c r="G93" s="42">
        <v>1</v>
      </c>
      <c r="H93" s="45">
        <f t="shared" ref="H93:H95" si="6">F93*0.001*G93</f>
        <v>4.9450000000000003</v>
      </c>
      <c r="I93" s="45" t="s">
        <v>870</v>
      </c>
      <c r="J93" s="49">
        <v>1</v>
      </c>
      <c r="K93" s="49"/>
      <c r="L93" s="46">
        <f>H93*J93</f>
        <v>4.9450000000000003</v>
      </c>
      <c r="M93" s="46">
        <v>1</v>
      </c>
      <c r="N93" s="46">
        <f>L93+M93</f>
        <v>5.9450000000000003</v>
      </c>
    </row>
    <row r="94" spans="1:14" ht="18.75" customHeight="1">
      <c r="A94" s="40" t="s">
        <v>889</v>
      </c>
      <c r="B94" s="40" t="s">
        <v>859</v>
      </c>
      <c r="C94" s="41" t="s">
        <v>581</v>
      </c>
      <c r="D94" s="42">
        <v>24</v>
      </c>
      <c r="E94" s="42">
        <v>2000</v>
      </c>
      <c r="F94" s="44">
        <v>4945</v>
      </c>
      <c r="G94" s="42">
        <v>1</v>
      </c>
      <c r="H94" s="45">
        <f t="shared" si="6"/>
        <v>4.9450000000000003</v>
      </c>
      <c r="I94" s="45" t="s">
        <v>870</v>
      </c>
      <c r="J94" s="49">
        <v>1</v>
      </c>
      <c r="K94" s="49"/>
      <c r="L94" s="46">
        <f>H94*J94</f>
        <v>4.9450000000000003</v>
      </c>
      <c r="M94" s="46">
        <v>1</v>
      </c>
      <c r="N94" s="46">
        <f>L94+M94</f>
        <v>5.9450000000000003</v>
      </c>
    </row>
    <row r="95" spans="1:14" ht="18.75" customHeight="1">
      <c r="A95" s="40" t="s">
        <v>889</v>
      </c>
      <c r="B95" s="40" t="s">
        <v>859</v>
      </c>
      <c r="C95" s="41" t="s">
        <v>581</v>
      </c>
      <c r="D95" s="42">
        <v>24</v>
      </c>
      <c r="E95" s="42">
        <v>1000</v>
      </c>
      <c r="F95" s="44">
        <v>4945</v>
      </c>
      <c r="G95" s="42">
        <v>1</v>
      </c>
      <c r="H95" s="45">
        <f t="shared" si="6"/>
        <v>4.9450000000000003</v>
      </c>
      <c r="I95" s="45" t="s">
        <v>870</v>
      </c>
      <c r="J95" s="49">
        <v>1</v>
      </c>
      <c r="K95" s="49"/>
      <c r="L95" s="46">
        <f>H95*J95</f>
        <v>4.9450000000000003</v>
      </c>
      <c r="M95" s="46">
        <v>1</v>
      </c>
      <c r="N95" s="46">
        <f>L95+M95</f>
        <v>5.9450000000000003</v>
      </c>
    </row>
    <row r="96" spans="1:14" ht="18.75" customHeight="1">
      <c r="H96" s="47"/>
      <c r="I96" s="47"/>
      <c r="J96" s="48"/>
      <c r="K96" s="48"/>
      <c r="L96" s="48"/>
      <c r="M96" s="48"/>
      <c r="N96" s="48"/>
    </row>
    <row r="97" spans="1:14" ht="18.75" customHeight="1">
      <c r="A97" s="40" t="s">
        <v>890</v>
      </c>
      <c r="B97" s="40" t="s">
        <v>859</v>
      </c>
      <c r="C97" s="41"/>
      <c r="D97" s="42">
        <v>18</v>
      </c>
      <c r="E97" s="42">
        <v>2500</v>
      </c>
      <c r="F97" s="44">
        <v>4945</v>
      </c>
      <c r="G97" s="42">
        <v>1</v>
      </c>
      <c r="H97" s="45">
        <f>F97/1000</f>
        <v>4.9450000000000003</v>
      </c>
      <c r="I97" s="45" t="s">
        <v>870</v>
      </c>
      <c r="J97" s="49">
        <f>VLOOKUP(D97,BM!$B$3:$Y$58,16,FALSE)</f>
        <v>1</v>
      </c>
      <c r="K97" s="49"/>
      <c r="L97" s="46">
        <f>H97*J97</f>
        <v>4.9450000000000003</v>
      </c>
      <c r="M97" s="46">
        <v>1</v>
      </c>
      <c r="N97" s="46">
        <f>L97+M97</f>
        <v>5.9450000000000003</v>
      </c>
    </row>
    <row r="98" spans="1:14" ht="18.75" customHeight="1">
      <c r="A98" s="40" t="s">
        <v>891</v>
      </c>
      <c r="B98" s="40" t="s">
        <v>859</v>
      </c>
      <c r="C98" s="41"/>
      <c r="D98" s="42">
        <v>18</v>
      </c>
      <c r="E98" s="42">
        <v>2500</v>
      </c>
      <c r="F98" s="44">
        <v>4945</v>
      </c>
      <c r="G98" s="42">
        <v>1</v>
      </c>
      <c r="H98" s="45">
        <f>F98/1000</f>
        <v>4.9450000000000003</v>
      </c>
      <c r="I98" s="45" t="s">
        <v>870</v>
      </c>
      <c r="J98" s="49">
        <f>VLOOKUP(D98,BM!$B$3:$Y$58,16,FALSE)</f>
        <v>1</v>
      </c>
      <c r="K98" s="49"/>
      <c r="L98" s="46">
        <f>H98*J98</f>
        <v>4.9450000000000003</v>
      </c>
      <c r="M98" s="46">
        <v>1</v>
      </c>
      <c r="N98" s="46">
        <f>L98+M98</f>
        <v>5.9450000000000003</v>
      </c>
    </row>
    <row r="99" spans="1:14" ht="18.75" customHeight="1">
      <c r="H99" s="47"/>
      <c r="I99" s="47"/>
      <c r="J99" s="48"/>
      <c r="K99" s="48"/>
      <c r="L99" s="48"/>
      <c r="M99" s="48"/>
      <c r="N99" s="48"/>
    </row>
    <row r="100" spans="1:14" ht="18.75" customHeight="1">
      <c r="A100" s="37" t="s">
        <v>850</v>
      </c>
      <c r="B100" s="38" t="s">
        <v>851</v>
      </c>
      <c r="C100" s="38"/>
      <c r="D100" s="39" t="s">
        <v>2</v>
      </c>
      <c r="E100" s="39" t="s">
        <v>892</v>
      </c>
      <c r="F100" s="39" t="s">
        <v>893</v>
      </c>
      <c r="G100" s="39" t="s">
        <v>4</v>
      </c>
      <c r="H100" s="39" t="s">
        <v>854</v>
      </c>
      <c r="I100" s="39" t="s">
        <v>5</v>
      </c>
      <c r="J100" s="39" t="s">
        <v>855</v>
      </c>
      <c r="K100" s="39" t="s">
        <v>5</v>
      </c>
      <c r="L100" s="39" t="s">
        <v>854</v>
      </c>
      <c r="M100" s="39" t="s">
        <v>856</v>
      </c>
      <c r="N100" s="39" t="s">
        <v>857</v>
      </c>
    </row>
    <row r="101" spans="1:14" ht="18.75" customHeight="1">
      <c r="A101" s="40" t="s">
        <v>894</v>
      </c>
      <c r="B101" s="40" t="s">
        <v>859</v>
      </c>
      <c r="C101" s="41"/>
      <c r="D101" s="42">
        <v>18</v>
      </c>
      <c r="E101" s="42">
        <v>1500</v>
      </c>
      <c r="F101" s="44">
        <v>2500</v>
      </c>
      <c r="G101" s="42">
        <v>1</v>
      </c>
      <c r="H101" s="45">
        <f>(E101+D101)*3.142/1000</f>
        <v>4.7695559999999997</v>
      </c>
      <c r="I101" s="45" t="s">
        <v>870</v>
      </c>
      <c r="J101" s="49">
        <f>VLOOKUP(D101,BM!$B$3:$Y$58,12,FALSE)</f>
        <v>4.9000000000000004</v>
      </c>
      <c r="K101" s="49" t="s">
        <v>895</v>
      </c>
      <c r="L101" s="46">
        <f>H101*J101</f>
        <v>23.3708244</v>
      </c>
      <c r="M101" s="46">
        <v>1</v>
      </c>
      <c r="N101" s="46">
        <f>L101+M101</f>
        <v>24.3708244</v>
      </c>
    </row>
    <row r="102" spans="1:14" ht="18.75" customHeight="1">
      <c r="A102" s="40" t="s">
        <v>896</v>
      </c>
      <c r="B102" s="40" t="s">
        <v>859</v>
      </c>
      <c r="C102" s="41"/>
      <c r="D102" s="42">
        <v>18</v>
      </c>
      <c r="E102" s="42">
        <v>1500</v>
      </c>
      <c r="F102" s="44">
        <v>2500</v>
      </c>
      <c r="G102" s="42">
        <v>1</v>
      </c>
      <c r="H102" s="45">
        <f>(E102+D102)*3.142/1000</f>
        <v>4.7695559999999997</v>
      </c>
      <c r="I102" s="45" t="s">
        <v>870</v>
      </c>
      <c r="J102" s="49">
        <f>VLOOKUP(D102,BM!$B$3:$Y$58,12,FALSE)</f>
        <v>4.9000000000000004</v>
      </c>
      <c r="K102" s="49" t="s">
        <v>895</v>
      </c>
      <c r="L102" s="46">
        <f>H102*J102</f>
        <v>23.3708244</v>
      </c>
      <c r="M102" s="46">
        <v>1</v>
      </c>
      <c r="N102" s="46">
        <f>L102+M102</f>
        <v>24.3708244</v>
      </c>
    </row>
    <row r="103" spans="1:14" ht="18.75" customHeight="1">
      <c r="H103" s="47"/>
      <c r="I103" s="47"/>
      <c r="J103" s="48"/>
      <c r="K103" s="48"/>
      <c r="L103" s="48"/>
      <c r="M103" s="48"/>
      <c r="N103" s="48"/>
    </row>
    <row r="104" spans="1:14" ht="18.75" customHeight="1">
      <c r="A104" s="37" t="s">
        <v>850</v>
      </c>
      <c r="B104" s="38" t="s">
        <v>851</v>
      </c>
      <c r="C104" s="38"/>
      <c r="D104" s="39" t="s">
        <v>2</v>
      </c>
      <c r="E104" s="39" t="s">
        <v>892</v>
      </c>
      <c r="F104" s="39" t="s">
        <v>893</v>
      </c>
      <c r="G104" s="39" t="s">
        <v>4</v>
      </c>
      <c r="H104" s="39" t="s">
        <v>854</v>
      </c>
      <c r="I104" s="39" t="s">
        <v>5</v>
      </c>
      <c r="J104" s="39" t="s">
        <v>855</v>
      </c>
      <c r="K104" s="39" t="s">
        <v>5</v>
      </c>
      <c r="L104" s="39" t="s">
        <v>854</v>
      </c>
      <c r="M104" s="39" t="s">
        <v>856</v>
      </c>
      <c r="N104" s="39" t="s">
        <v>857</v>
      </c>
    </row>
    <row r="105" spans="1:14" ht="18.75" customHeight="1">
      <c r="A105" s="40" t="s">
        <v>897</v>
      </c>
      <c r="B105" s="40" t="s">
        <v>859</v>
      </c>
      <c r="C105" s="41"/>
      <c r="D105" s="42">
        <v>16</v>
      </c>
      <c r="E105" s="42">
        <v>1500</v>
      </c>
      <c r="F105" s="42"/>
      <c r="G105" s="42">
        <v>1</v>
      </c>
      <c r="H105" s="45">
        <f>(E105+D105)*3.142/1000</f>
        <v>4.7632719999999997</v>
      </c>
      <c r="I105" s="45" t="s">
        <v>870</v>
      </c>
      <c r="J105" s="49">
        <f>VLOOKUP(D105,BM!$B$3:$Y$58,18,FALSE)</f>
        <v>1</v>
      </c>
      <c r="K105" s="49"/>
      <c r="L105" s="46">
        <f>H105*J105</f>
        <v>4.7632719999999997</v>
      </c>
      <c r="M105" s="46">
        <v>1</v>
      </c>
      <c r="N105" s="46">
        <f>L105+M105</f>
        <v>5.7632719999999997</v>
      </c>
    </row>
    <row r="106" spans="1:14" ht="18.75" customHeight="1">
      <c r="A106" s="40" t="s">
        <v>898</v>
      </c>
      <c r="B106" s="40" t="s">
        <v>859</v>
      </c>
      <c r="C106" s="41"/>
      <c r="D106" s="42">
        <v>16</v>
      </c>
      <c r="E106" s="42">
        <v>1500</v>
      </c>
      <c r="F106" s="42"/>
      <c r="G106" s="42">
        <v>1</v>
      </c>
      <c r="H106" s="45">
        <f>(E106+D106)*3.142/1000</f>
        <v>4.7632719999999997</v>
      </c>
      <c r="I106" s="45" t="s">
        <v>870</v>
      </c>
      <c r="J106" s="49">
        <f>VLOOKUP(D106,BM!$B$3:$Y$58,18,FALSE)</f>
        <v>1</v>
      </c>
      <c r="K106" s="49"/>
      <c r="L106" s="46">
        <f>H106*J106</f>
        <v>4.7632719999999997</v>
      </c>
      <c r="M106" s="46">
        <v>1</v>
      </c>
      <c r="N106" s="46">
        <f>L106+M106</f>
        <v>5.7632719999999997</v>
      </c>
    </row>
    <row r="107" spans="1:14" ht="18.75" customHeight="1">
      <c r="H107" s="47"/>
      <c r="I107" s="47"/>
      <c r="J107" s="48"/>
      <c r="K107" s="48"/>
      <c r="L107" s="48"/>
      <c r="M107" s="48"/>
      <c r="N107" s="48"/>
    </row>
    <row r="108" spans="1:14" ht="18.75" customHeight="1">
      <c r="A108" s="37" t="s">
        <v>850</v>
      </c>
      <c r="B108" s="38" t="s">
        <v>851</v>
      </c>
      <c r="C108" s="38"/>
      <c r="D108" s="39" t="s">
        <v>2</v>
      </c>
      <c r="E108" s="39" t="s">
        <v>892</v>
      </c>
      <c r="F108" s="39" t="s">
        <v>893</v>
      </c>
      <c r="G108" s="39" t="s">
        <v>4</v>
      </c>
      <c r="H108" s="39" t="s">
        <v>854</v>
      </c>
      <c r="I108" s="39" t="s">
        <v>5</v>
      </c>
      <c r="J108" s="39" t="s">
        <v>855</v>
      </c>
      <c r="K108" s="39" t="s">
        <v>5</v>
      </c>
      <c r="L108" s="39" t="s">
        <v>854</v>
      </c>
      <c r="M108" s="39" t="s">
        <v>856</v>
      </c>
      <c r="N108" s="39" t="s">
        <v>857</v>
      </c>
    </row>
    <row r="109" spans="1:14" ht="18.75" customHeight="1">
      <c r="A109" s="40" t="s">
        <v>899</v>
      </c>
      <c r="B109" s="40" t="s">
        <v>859</v>
      </c>
      <c r="C109" s="41"/>
      <c r="D109" s="42">
        <f>6</f>
        <v>6</v>
      </c>
      <c r="E109" s="42">
        <v>1500</v>
      </c>
      <c r="F109" s="42"/>
      <c r="G109" s="42">
        <v>1</v>
      </c>
      <c r="H109" s="45">
        <f>(E109+D109)*3.142/1000</f>
        <v>4.7318519999999999</v>
      </c>
      <c r="I109" s="45" t="s">
        <v>870</v>
      </c>
      <c r="J109" s="49">
        <f>VLOOKUP(D109,BM!$B$3:$Y$58,12,FALSE)</f>
        <v>0.9</v>
      </c>
      <c r="K109" s="49"/>
      <c r="L109" s="46">
        <f>H109*J109</f>
        <v>4.2586668000000003</v>
      </c>
      <c r="M109" s="46">
        <v>1</v>
      </c>
      <c r="N109" s="46">
        <f>L109+M109</f>
        <v>5.2586668000000003</v>
      </c>
    </row>
    <row r="110" spans="1:14" ht="18.75" customHeight="1">
      <c r="A110" s="40" t="s">
        <v>900</v>
      </c>
      <c r="B110" s="40" t="s">
        <v>859</v>
      </c>
      <c r="C110" s="41"/>
      <c r="D110" s="42">
        <v>6</v>
      </c>
      <c r="E110" s="42">
        <v>1500</v>
      </c>
      <c r="F110" s="42"/>
      <c r="G110" s="42">
        <v>1</v>
      </c>
      <c r="H110" s="45">
        <f>(E110+D110)*3.142/1000</f>
        <v>4.7318519999999999</v>
      </c>
      <c r="I110" s="45" t="s">
        <v>870</v>
      </c>
      <c r="J110" s="49">
        <f>VLOOKUP(D110,BM!$B$3:$Y$58,12,FALSE)</f>
        <v>0.9</v>
      </c>
      <c r="K110" s="49"/>
      <c r="L110" s="46">
        <f>H110*J110</f>
        <v>4.2586668000000003</v>
      </c>
      <c r="M110" s="46">
        <v>1</v>
      </c>
      <c r="N110" s="46">
        <f>L110+M110</f>
        <v>5.2586668000000003</v>
      </c>
    </row>
    <row r="111" spans="1:14" ht="18.75" customHeight="1">
      <c r="H111" s="47"/>
      <c r="I111" s="47"/>
      <c r="J111" s="48"/>
      <c r="K111" s="48"/>
      <c r="L111" s="48"/>
      <c r="M111" s="48"/>
      <c r="N111" s="48"/>
    </row>
    <row r="112" spans="1:14" ht="18.75" customHeight="1">
      <c r="A112" s="37" t="s">
        <v>850</v>
      </c>
      <c r="B112" s="38" t="s">
        <v>851</v>
      </c>
      <c r="C112" s="38"/>
      <c r="D112" s="39" t="s">
        <v>2</v>
      </c>
      <c r="E112" s="39" t="s">
        <v>892</v>
      </c>
      <c r="F112" s="39" t="s">
        <v>893</v>
      </c>
      <c r="G112" s="39" t="s">
        <v>4</v>
      </c>
      <c r="H112" s="39" t="s">
        <v>854</v>
      </c>
      <c r="I112" s="39" t="s">
        <v>5</v>
      </c>
      <c r="J112" s="39" t="s">
        <v>855</v>
      </c>
      <c r="K112" s="39" t="s">
        <v>5</v>
      </c>
      <c r="L112" s="39" t="s">
        <v>854</v>
      </c>
      <c r="M112" s="39" t="s">
        <v>856</v>
      </c>
      <c r="N112" s="39" t="s">
        <v>857</v>
      </c>
    </row>
    <row r="113" spans="1:14" ht="18.75" customHeight="1">
      <c r="A113" s="40" t="s">
        <v>901</v>
      </c>
      <c r="B113" s="40" t="s">
        <v>859</v>
      </c>
      <c r="C113" s="41"/>
      <c r="D113" s="42">
        <v>18</v>
      </c>
      <c r="E113" s="44">
        <v>1500</v>
      </c>
      <c r="F113" s="42"/>
      <c r="G113" s="42">
        <v>1</v>
      </c>
      <c r="H113" s="45">
        <f>E113*3.142/1000</f>
        <v>4.7130000000000001</v>
      </c>
      <c r="I113" s="45" t="s">
        <v>870</v>
      </c>
      <c r="J113" s="49">
        <f>VLOOKUP(D113,BM!$B$3:$Y$58,16,FALSE)</f>
        <v>1</v>
      </c>
      <c r="K113" s="49"/>
      <c r="L113" s="46">
        <f t="shared" ref="L113:L118" si="7">H113*J113</f>
        <v>4.7130000000000001</v>
      </c>
      <c r="M113" s="46">
        <v>1</v>
      </c>
      <c r="N113" s="46">
        <f t="shared" ref="N113:N118" si="8">L113+M113</f>
        <v>5.7130000000000001</v>
      </c>
    </row>
    <row r="114" spans="1:14" ht="18.75" customHeight="1">
      <c r="A114" s="40" t="s">
        <v>902</v>
      </c>
      <c r="B114" s="40" t="s">
        <v>859</v>
      </c>
      <c r="C114" s="41"/>
      <c r="D114" s="42">
        <v>12</v>
      </c>
      <c r="E114" s="44">
        <v>1500</v>
      </c>
      <c r="F114" s="42"/>
      <c r="G114" s="42">
        <v>1</v>
      </c>
      <c r="H114" s="45">
        <f t="shared" ref="H114:H118" si="9">E114*3.142/1000</f>
        <v>4.7130000000000001</v>
      </c>
      <c r="I114" s="45" t="s">
        <v>870</v>
      </c>
      <c r="J114" s="49">
        <f>VLOOKUP(D114,BM!$B$3:$Y$58,12,FALSE)</f>
        <v>2.5</v>
      </c>
      <c r="K114" s="49"/>
      <c r="L114" s="46">
        <f t="shared" si="7"/>
        <v>11.782500000000001</v>
      </c>
      <c r="M114" s="46">
        <v>1</v>
      </c>
      <c r="N114" s="46">
        <f t="shared" si="8"/>
        <v>12.782500000000001</v>
      </c>
    </row>
    <row r="115" spans="1:14" ht="18.75" customHeight="1">
      <c r="A115" s="40" t="s">
        <v>903</v>
      </c>
      <c r="B115" s="40" t="s">
        <v>859</v>
      </c>
      <c r="C115" s="41"/>
      <c r="D115" s="42">
        <v>18</v>
      </c>
      <c r="E115" s="44">
        <v>1500</v>
      </c>
      <c r="F115" s="42"/>
      <c r="G115" s="42">
        <v>1</v>
      </c>
      <c r="H115" s="45">
        <f t="shared" si="9"/>
        <v>4.7130000000000001</v>
      </c>
      <c r="I115" s="45" t="s">
        <v>870</v>
      </c>
      <c r="J115" s="49">
        <f>VLOOKUP(D115,BM!$B$3:$Y$58,18,FALSE)</f>
        <v>1</v>
      </c>
      <c r="K115" s="49"/>
      <c r="L115" s="46">
        <f t="shared" si="7"/>
        <v>4.7130000000000001</v>
      </c>
      <c r="M115" s="46">
        <v>1</v>
      </c>
      <c r="N115" s="46">
        <f t="shared" si="8"/>
        <v>5.7130000000000001</v>
      </c>
    </row>
    <row r="116" spans="1:14" ht="18.75" customHeight="1">
      <c r="A116" s="40" t="s">
        <v>904</v>
      </c>
      <c r="B116" s="40" t="s">
        <v>859</v>
      </c>
      <c r="C116" s="41"/>
      <c r="D116" s="42">
        <v>6</v>
      </c>
      <c r="E116" s="44">
        <v>1500</v>
      </c>
      <c r="F116" s="42"/>
      <c r="G116" s="42">
        <v>1</v>
      </c>
      <c r="H116" s="45">
        <f t="shared" si="9"/>
        <v>4.7130000000000001</v>
      </c>
      <c r="I116" s="45" t="s">
        <v>870</v>
      </c>
      <c r="J116" s="49">
        <f>VLOOKUP(D116,BM!$B$3:$Y$58,12,FALSE)</f>
        <v>0.9</v>
      </c>
      <c r="K116" s="49"/>
      <c r="L116" s="46">
        <f t="shared" si="7"/>
        <v>4.2416999999999998</v>
      </c>
      <c r="M116" s="46">
        <v>1</v>
      </c>
      <c r="N116" s="46">
        <f t="shared" si="8"/>
        <v>5.2416999999999998</v>
      </c>
    </row>
    <row r="117" spans="1:14" ht="18.75" customHeight="1">
      <c r="A117" s="40" t="s">
        <v>905</v>
      </c>
      <c r="B117" s="40" t="s">
        <v>859</v>
      </c>
      <c r="C117" s="41"/>
      <c r="D117" s="42">
        <v>18</v>
      </c>
      <c r="E117" s="44">
        <v>1500</v>
      </c>
      <c r="F117" s="42"/>
      <c r="G117" s="42">
        <v>1</v>
      </c>
      <c r="H117" s="45">
        <f t="shared" si="9"/>
        <v>4.7130000000000001</v>
      </c>
      <c r="I117" s="45" t="s">
        <v>870</v>
      </c>
      <c r="J117" s="49">
        <f>VLOOKUP(D117,BM!$B$3:$Y$58,20,FALSE)</f>
        <v>0.5</v>
      </c>
      <c r="K117" s="49"/>
      <c r="L117" s="46">
        <f t="shared" si="7"/>
        <v>2.3565</v>
      </c>
      <c r="M117" s="46">
        <v>1</v>
      </c>
      <c r="N117" s="46">
        <f t="shared" si="8"/>
        <v>3.3565</v>
      </c>
    </row>
    <row r="118" spans="1:14" ht="18.75" customHeight="1">
      <c r="A118" s="40" t="s">
        <v>906</v>
      </c>
      <c r="B118" s="40" t="s">
        <v>859</v>
      </c>
      <c r="C118" s="41" t="s">
        <v>581</v>
      </c>
      <c r="D118" s="42">
        <v>18</v>
      </c>
      <c r="E118" s="44">
        <v>1500</v>
      </c>
      <c r="F118" s="42"/>
      <c r="G118" s="42">
        <v>1</v>
      </c>
      <c r="H118" s="45">
        <f t="shared" si="9"/>
        <v>4.7130000000000001</v>
      </c>
      <c r="I118" s="45" t="s">
        <v>564</v>
      </c>
      <c r="J118" s="49">
        <v>1</v>
      </c>
      <c r="K118" s="49"/>
      <c r="L118" s="46">
        <f t="shared" si="7"/>
        <v>4.7130000000000001</v>
      </c>
      <c r="M118" s="46"/>
      <c r="N118" s="46">
        <f t="shared" si="8"/>
        <v>4.7130000000000001</v>
      </c>
    </row>
    <row r="119" spans="1:14" ht="18.75" customHeight="1">
      <c r="H119" s="47"/>
      <c r="I119" s="47"/>
      <c r="J119" s="48"/>
      <c r="K119" s="48"/>
      <c r="L119" s="48"/>
      <c r="M119" s="48"/>
      <c r="N119" s="48"/>
    </row>
    <row r="120" spans="1:14" ht="18.75" customHeight="1">
      <c r="A120" s="37" t="s">
        <v>850</v>
      </c>
      <c r="B120" s="38" t="s">
        <v>851</v>
      </c>
      <c r="C120" s="38"/>
      <c r="D120" s="39" t="s">
        <v>2</v>
      </c>
      <c r="E120" s="39" t="s">
        <v>892</v>
      </c>
      <c r="F120" s="39" t="s">
        <v>893</v>
      </c>
      <c r="G120" s="39" t="s">
        <v>4</v>
      </c>
      <c r="H120" s="39" t="s">
        <v>854</v>
      </c>
      <c r="I120" s="39" t="s">
        <v>5</v>
      </c>
      <c r="J120" s="39" t="s">
        <v>855</v>
      </c>
      <c r="K120" s="39" t="s">
        <v>5</v>
      </c>
      <c r="L120" s="39" t="s">
        <v>854</v>
      </c>
      <c r="M120" s="39" t="s">
        <v>856</v>
      </c>
      <c r="N120" s="39" t="s">
        <v>857</v>
      </c>
    </row>
    <row r="121" spans="1:14" ht="18.75" customHeight="1">
      <c r="A121" s="40" t="s">
        <v>907</v>
      </c>
      <c r="B121" s="40" t="s">
        <v>859</v>
      </c>
      <c r="C121" s="41"/>
      <c r="D121" s="42">
        <v>24</v>
      </c>
      <c r="E121" s="50">
        <v>1500</v>
      </c>
      <c r="F121" s="42"/>
      <c r="G121" s="42">
        <v>1</v>
      </c>
      <c r="H121" s="45">
        <f t="shared" ref="H121:H128" si="10">E121*3.142/1000</f>
        <v>4.7130000000000001</v>
      </c>
      <c r="I121" s="45" t="s">
        <v>249</v>
      </c>
      <c r="J121" s="49">
        <f>VLOOKUP(D121,BM!$B$3:$Y$58,2,FALSE)</f>
        <v>0.1</v>
      </c>
      <c r="K121" s="49"/>
      <c r="L121" s="46">
        <f t="shared" ref="L121:L128" si="11">H121*J121</f>
        <v>0.47130000000000005</v>
      </c>
      <c r="M121" s="46">
        <v>0.5</v>
      </c>
      <c r="N121" s="46">
        <f t="shared" ref="N121:N128" si="12">L121+M121</f>
        <v>0.97130000000000005</v>
      </c>
    </row>
    <row r="122" spans="1:14" ht="18.75" customHeight="1">
      <c r="A122" s="40" t="s">
        <v>908</v>
      </c>
      <c r="B122" s="40" t="s">
        <v>859</v>
      </c>
      <c r="C122" s="41"/>
      <c r="D122" s="42">
        <v>24</v>
      </c>
      <c r="E122" s="44">
        <f t="shared" ref="E122:E129" si="13">E121</f>
        <v>1500</v>
      </c>
      <c r="F122" s="42"/>
      <c r="G122" s="42">
        <v>1</v>
      </c>
      <c r="H122" s="45">
        <f t="shared" si="10"/>
        <v>4.7130000000000001</v>
      </c>
      <c r="I122" s="45" t="s">
        <v>249</v>
      </c>
      <c r="J122" s="49">
        <f>VLOOKUP(D122,BM!$B$3:$Y$58,5,FALSE)</f>
        <v>0.5</v>
      </c>
      <c r="K122" s="49"/>
      <c r="L122" s="46">
        <f t="shared" si="11"/>
        <v>2.3565</v>
      </c>
      <c r="M122" s="46">
        <v>0.5</v>
      </c>
      <c r="N122" s="46">
        <f t="shared" si="12"/>
        <v>2.8565</v>
      </c>
    </row>
    <row r="123" spans="1:14" ht="18.75" customHeight="1">
      <c r="A123" s="40" t="s">
        <v>909</v>
      </c>
      <c r="B123" s="40" t="s">
        <v>859</v>
      </c>
      <c r="C123" s="41"/>
      <c r="D123" s="42">
        <v>24</v>
      </c>
      <c r="E123" s="44">
        <f t="shared" si="13"/>
        <v>1500</v>
      </c>
      <c r="F123" s="42"/>
      <c r="G123" s="42">
        <v>2</v>
      </c>
      <c r="H123" s="45">
        <f t="shared" si="10"/>
        <v>4.7130000000000001</v>
      </c>
      <c r="I123" s="45" t="s">
        <v>249</v>
      </c>
      <c r="J123" s="49">
        <f>VLOOKUP(D123,BM!$B$3:$Y$58,15,FALSE)</f>
        <v>1</v>
      </c>
      <c r="K123" s="49"/>
      <c r="L123" s="46">
        <f t="shared" si="11"/>
        <v>4.7130000000000001</v>
      </c>
      <c r="M123" s="46">
        <v>0.5</v>
      </c>
      <c r="N123" s="46">
        <f t="shared" si="12"/>
        <v>5.2130000000000001</v>
      </c>
    </row>
    <row r="124" spans="1:14" ht="18.75" customHeight="1">
      <c r="A124" s="40" t="s">
        <v>910</v>
      </c>
      <c r="B124" s="40" t="s">
        <v>859</v>
      </c>
      <c r="C124" s="41"/>
      <c r="D124" s="42">
        <v>24</v>
      </c>
      <c r="E124" s="44">
        <f t="shared" si="13"/>
        <v>1500</v>
      </c>
      <c r="F124" s="42"/>
      <c r="G124" s="42">
        <v>2</v>
      </c>
      <c r="H124" s="45">
        <f t="shared" si="10"/>
        <v>4.7130000000000001</v>
      </c>
      <c r="I124" s="45" t="s">
        <v>249</v>
      </c>
      <c r="J124" s="49">
        <f>VLOOKUP(D124,BM!$B$3:$Y$58,16,FALSE)</f>
        <v>1</v>
      </c>
      <c r="K124" s="49"/>
      <c r="L124" s="46">
        <f t="shared" si="11"/>
        <v>4.7130000000000001</v>
      </c>
      <c r="M124" s="46">
        <v>0.5</v>
      </c>
      <c r="N124" s="46">
        <f t="shared" si="12"/>
        <v>5.2130000000000001</v>
      </c>
    </row>
    <row r="125" spans="1:14" ht="18.75" customHeight="1">
      <c r="A125" s="40" t="s">
        <v>911</v>
      </c>
      <c r="B125" s="40" t="s">
        <v>859</v>
      </c>
      <c r="C125" s="41"/>
      <c r="D125" s="42">
        <v>16</v>
      </c>
      <c r="E125" s="44">
        <f t="shared" si="13"/>
        <v>1500</v>
      </c>
      <c r="F125" s="42"/>
      <c r="G125" s="42">
        <v>2</v>
      </c>
      <c r="H125" s="45">
        <f t="shared" si="10"/>
        <v>4.7130000000000001</v>
      </c>
      <c r="I125" s="45" t="s">
        <v>249</v>
      </c>
      <c r="J125" s="49">
        <f>VLOOKUP(D125,BM!$B$3:$Y$58,17,FALSE)</f>
        <v>4.0199999999999996</v>
      </c>
      <c r="K125" s="49"/>
      <c r="L125" s="46">
        <f t="shared" si="11"/>
        <v>18.946259999999999</v>
      </c>
      <c r="M125" s="46">
        <v>0.5</v>
      </c>
      <c r="N125" s="46">
        <f t="shared" si="12"/>
        <v>19.446259999999999</v>
      </c>
    </row>
    <row r="126" spans="1:14" ht="18.75" customHeight="1">
      <c r="A126" s="40" t="s">
        <v>912</v>
      </c>
      <c r="B126" s="40" t="s">
        <v>859</v>
      </c>
      <c r="C126" s="41"/>
      <c r="D126" s="42">
        <v>16</v>
      </c>
      <c r="E126" s="44">
        <f t="shared" si="13"/>
        <v>1500</v>
      </c>
      <c r="F126" s="42"/>
      <c r="G126" s="42">
        <v>2</v>
      </c>
      <c r="H126" s="45">
        <f t="shared" si="10"/>
        <v>4.7130000000000001</v>
      </c>
      <c r="I126" s="45" t="s">
        <v>249</v>
      </c>
      <c r="J126" s="49">
        <f>VLOOKUP(D126,BM!$B$3:$Y$58,18,FALSE)</f>
        <v>1</v>
      </c>
      <c r="K126" s="49"/>
      <c r="L126" s="46">
        <f t="shared" si="11"/>
        <v>4.7130000000000001</v>
      </c>
      <c r="M126" s="46">
        <v>0.5</v>
      </c>
      <c r="N126" s="46">
        <f t="shared" si="12"/>
        <v>5.2130000000000001</v>
      </c>
    </row>
    <row r="127" spans="1:14" ht="18.75" customHeight="1">
      <c r="A127" s="40" t="s">
        <v>913</v>
      </c>
      <c r="B127" s="40" t="s">
        <v>859</v>
      </c>
      <c r="C127" s="41"/>
      <c r="D127" s="42">
        <v>10</v>
      </c>
      <c r="E127" s="44">
        <f t="shared" si="13"/>
        <v>1500</v>
      </c>
      <c r="F127" s="42"/>
      <c r="G127" s="42">
        <v>2</v>
      </c>
      <c r="H127" s="45">
        <f t="shared" si="10"/>
        <v>4.7130000000000001</v>
      </c>
      <c r="I127" s="45" t="s">
        <v>249</v>
      </c>
      <c r="J127" s="49">
        <f>VLOOKUP(D127,BM!$B$3:$Y$58,17,FALSE)</f>
        <v>1.88</v>
      </c>
      <c r="K127" s="49"/>
      <c r="L127" s="46">
        <f t="shared" si="11"/>
        <v>8.8604399999999988</v>
      </c>
      <c r="M127" s="46">
        <v>0.5</v>
      </c>
      <c r="N127" s="46">
        <f t="shared" si="12"/>
        <v>9.3604399999999988</v>
      </c>
    </row>
    <row r="128" spans="1:14" ht="18.75" customHeight="1">
      <c r="A128" s="40" t="s">
        <v>905</v>
      </c>
      <c r="B128" s="40" t="s">
        <v>859</v>
      </c>
      <c r="C128" s="41"/>
      <c r="D128" s="42">
        <v>10</v>
      </c>
      <c r="E128" s="44">
        <f t="shared" si="13"/>
        <v>1500</v>
      </c>
      <c r="F128" s="42"/>
      <c r="G128" s="42">
        <v>2</v>
      </c>
      <c r="H128" s="45">
        <f t="shared" si="10"/>
        <v>4.7130000000000001</v>
      </c>
      <c r="I128" s="45" t="s">
        <v>249</v>
      </c>
      <c r="J128" s="49">
        <f>VLOOKUP(D128,BM!$B$3:$Y$58,20,FALSE)</f>
        <v>0.5</v>
      </c>
      <c r="K128" s="49"/>
      <c r="L128" s="46">
        <f t="shared" si="11"/>
        <v>2.3565</v>
      </c>
      <c r="M128" s="46">
        <v>0.5</v>
      </c>
      <c r="N128" s="46">
        <f t="shared" si="12"/>
        <v>2.8565</v>
      </c>
    </row>
    <row r="129" spans="1:14" ht="18.75" customHeight="1">
      <c r="A129" s="40" t="s">
        <v>906</v>
      </c>
      <c r="B129" s="40" t="s">
        <v>859</v>
      </c>
      <c r="C129" s="41" t="s">
        <v>581</v>
      </c>
      <c r="D129" s="42">
        <v>10</v>
      </c>
      <c r="E129" s="44">
        <f t="shared" si="13"/>
        <v>1500</v>
      </c>
      <c r="F129" s="42"/>
      <c r="G129" s="42">
        <v>2</v>
      </c>
      <c r="H129" s="45"/>
      <c r="I129" s="45"/>
      <c r="J129" s="49" t="s">
        <v>886</v>
      </c>
      <c r="K129" s="49"/>
      <c r="L129" s="46"/>
      <c r="M129" s="46"/>
      <c r="N129" s="46" t="str">
        <f>J129</f>
        <v>1 DAY</v>
      </c>
    </row>
    <row r="130" spans="1:14" ht="18.75" customHeight="1">
      <c r="H130" s="47"/>
      <c r="I130" s="47"/>
      <c r="J130" s="48"/>
      <c r="K130" s="48"/>
      <c r="L130" s="48"/>
      <c r="M130" s="48"/>
      <c r="N130" s="48"/>
    </row>
    <row r="131" spans="1:14" ht="18.75" customHeight="1">
      <c r="A131" s="37" t="s">
        <v>850</v>
      </c>
      <c r="B131" s="38" t="s">
        <v>851</v>
      </c>
      <c r="C131" s="38"/>
      <c r="D131" s="39" t="s">
        <v>2</v>
      </c>
      <c r="E131" s="39" t="s">
        <v>892</v>
      </c>
      <c r="F131" s="39" t="s">
        <v>893</v>
      </c>
      <c r="G131" s="39" t="s">
        <v>4</v>
      </c>
      <c r="H131" s="39" t="s">
        <v>854</v>
      </c>
      <c r="I131" s="39" t="s">
        <v>5</v>
      </c>
      <c r="J131" s="39" t="s">
        <v>855</v>
      </c>
      <c r="K131" s="39" t="s">
        <v>5</v>
      </c>
      <c r="L131" s="39" t="s">
        <v>854</v>
      </c>
      <c r="M131" s="39" t="s">
        <v>856</v>
      </c>
      <c r="N131" s="39" t="s">
        <v>857</v>
      </c>
    </row>
    <row r="132" spans="1:14" ht="18.75" customHeight="1">
      <c r="A132" s="40" t="s">
        <v>914</v>
      </c>
      <c r="B132" s="40"/>
      <c r="C132" s="41" t="s">
        <v>581</v>
      </c>
      <c r="D132" s="42">
        <v>18</v>
      </c>
      <c r="E132" s="42">
        <v>1500</v>
      </c>
      <c r="F132" s="42" t="s">
        <v>915</v>
      </c>
      <c r="G132" s="42">
        <v>1</v>
      </c>
      <c r="H132" s="45">
        <v>1</v>
      </c>
      <c r="I132" s="45" t="s">
        <v>39</v>
      </c>
      <c r="J132" s="49">
        <v>4</v>
      </c>
      <c r="K132" s="49"/>
      <c r="L132" s="46">
        <f t="shared" ref="L132:L139" si="14">H132*J132</f>
        <v>4</v>
      </c>
      <c r="M132" s="46">
        <v>1</v>
      </c>
      <c r="N132" s="46">
        <f t="shared" ref="N132:N139" si="15">L132+M132</f>
        <v>5</v>
      </c>
    </row>
    <row r="133" spans="1:14" ht="18.75" customHeight="1">
      <c r="A133" s="40" t="s">
        <v>916</v>
      </c>
      <c r="B133" s="40" t="s">
        <v>917</v>
      </c>
      <c r="C133" s="41"/>
      <c r="D133" s="42" t="s">
        <v>918</v>
      </c>
      <c r="E133" s="42" t="s">
        <v>919</v>
      </c>
      <c r="F133" s="42"/>
      <c r="G133" s="42">
        <v>3</v>
      </c>
      <c r="H133" s="45">
        <v>3</v>
      </c>
      <c r="I133" s="45" t="s">
        <v>81</v>
      </c>
      <c r="J133" s="49">
        <v>4</v>
      </c>
      <c r="K133" s="49"/>
      <c r="L133" s="46">
        <f t="shared" si="14"/>
        <v>12</v>
      </c>
      <c r="M133" s="46">
        <v>1</v>
      </c>
      <c r="N133" s="46">
        <f t="shared" si="15"/>
        <v>13</v>
      </c>
    </row>
    <row r="134" spans="1:14" ht="18.75" customHeight="1">
      <c r="A134" s="40" t="s">
        <v>920</v>
      </c>
      <c r="B134" s="40" t="s">
        <v>581</v>
      </c>
      <c r="C134" s="41"/>
      <c r="D134" s="42" t="s">
        <v>918</v>
      </c>
      <c r="E134" s="42"/>
      <c r="F134" s="42" t="s">
        <v>921</v>
      </c>
      <c r="G134" s="42">
        <v>3</v>
      </c>
      <c r="H134" s="45">
        <v>3</v>
      </c>
      <c r="I134" s="45" t="s">
        <v>564</v>
      </c>
      <c r="J134" s="49">
        <v>4</v>
      </c>
      <c r="K134" s="49"/>
      <c r="L134" s="46">
        <f t="shared" si="14"/>
        <v>12</v>
      </c>
      <c r="M134" s="46">
        <v>1</v>
      </c>
      <c r="N134" s="46">
        <f t="shared" si="15"/>
        <v>13</v>
      </c>
    </row>
    <row r="135" spans="1:14" ht="18.75" customHeight="1">
      <c r="A135" s="40" t="s">
        <v>922</v>
      </c>
      <c r="B135" s="40" t="s">
        <v>581</v>
      </c>
      <c r="C135" s="41"/>
      <c r="D135" s="42" t="s">
        <v>918</v>
      </c>
      <c r="E135" s="42"/>
      <c r="F135" s="42" t="s">
        <v>921</v>
      </c>
      <c r="G135" s="42">
        <v>3</v>
      </c>
      <c r="H135" s="45">
        <v>3</v>
      </c>
      <c r="I135" s="45" t="s">
        <v>81</v>
      </c>
      <c r="J135" s="49">
        <v>8</v>
      </c>
      <c r="K135" s="49"/>
      <c r="L135" s="46">
        <f t="shared" si="14"/>
        <v>24</v>
      </c>
      <c r="M135" s="46">
        <v>1</v>
      </c>
      <c r="N135" s="46">
        <f t="shared" si="15"/>
        <v>25</v>
      </c>
    </row>
    <row r="136" spans="1:14" ht="18.75" customHeight="1">
      <c r="A136" s="40" t="s">
        <v>923</v>
      </c>
      <c r="B136" s="40" t="s">
        <v>581</v>
      </c>
      <c r="C136" s="41"/>
      <c r="D136" s="42" t="s">
        <v>918</v>
      </c>
      <c r="E136" s="42"/>
      <c r="F136" s="42"/>
      <c r="G136" s="42">
        <v>2</v>
      </c>
      <c r="H136" s="45">
        <v>2</v>
      </c>
      <c r="I136" s="45" t="s">
        <v>564</v>
      </c>
      <c r="J136" s="49">
        <v>4</v>
      </c>
      <c r="K136" s="49"/>
      <c r="L136" s="46">
        <f t="shared" si="14"/>
        <v>8</v>
      </c>
      <c r="M136" s="46">
        <v>1</v>
      </c>
      <c r="N136" s="46">
        <f t="shared" si="15"/>
        <v>9</v>
      </c>
    </row>
    <row r="137" spans="1:14" ht="18.75" customHeight="1">
      <c r="A137" s="40" t="s">
        <v>924</v>
      </c>
      <c r="B137" s="40"/>
      <c r="C137" s="41"/>
      <c r="D137" s="42">
        <v>12</v>
      </c>
      <c r="E137" s="50">
        <v>1197</v>
      </c>
      <c r="F137" s="51"/>
      <c r="G137" s="42">
        <v>1</v>
      </c>
      <c r="H137" s="46">
        <f>E137*3.142*0.001</f>
        <v>3.7609739999999996</v>
      </c>
      <c r="I137" s="45" t="s">
        <v>870</v>
      </c>
      <c r="J137" s="49">
        <f>VLOOKUP(D137,BM!$B$3:$Y$58,12,FALSE)</f>
        <v>2.5</v>
      </c>
      <c r="K137" s="49"/>
      <c r="L137" s="46">
        <f t="shared" si="14"/>
        <v>9.4024349999999988</v>
      </c>
      <c r="M137" s="46">
        <v>1</v>
      </c>
      <c r="N137" s="46">
        <f t="shared" si="15"/>
        <v>10.402434999999999</v>
      </c>
    </row>
    <row r="138" spans="1:14" ht="18.75" customHeight="1">
      <c r="A138" s="40" t="s">
        <v>925</v>
      </c>
      <c r="B138" s="40"/>
      <c r="C138" s="41"/>
      <c r="D138" s="42">
        <v>18</v>
      </c>
      <c r="E138" s="50">
        <v>1197</v>
      </c>
      <c r="F138" s="51"/>
      <c r="G138" s="42">
        <v>1</v>
      </c>
      <c r="H138" s="46">
        <f>E138*3.142*0.001</f>
        <v>3.7609739999999996</v>
      </c>
      <c r="I138" s="45" t="s">
        <v>870</v>
      </c>
      <c r="J138" s="49">
        <f>VLOOKUP(D138,BM!$B$3:$Y$58,18,FALSE)</f>
        <v>1</v>
      </c>
      <c r="K138" s="49"/>
      <c r="L138" s="46">
        <f t="shared" si="14"/>
        <v>3.7609739999999996</v>
      </c>
      <c r="M138" s="46">
        <v>1</v>
      </c>
      <c r="N138" s="46">
        <f t="shared" si="15"/>
        <v>4.7609739999999992</v>
      </c>
    </row>
    <row r="139" spans="1:14" ht="18.75" customHeight="1">
      <c r="A139" s="40" t="s">
        <v>926</v>
      </c>
      <c r="B139" s="40"/>
      <c r="C139" s="41"/>
      <c r="D139" s="42">
        <v>8</v>
      </c>
      <c r="E139" s="50">
        <v>1197</v>
      </c>
      <c r="F139" s="51"/>
      <c r="G139" s="42">
        <v>1</v>
      </c>
      <c r="H139" s="46">
        <f>E139*3.142*0.001</f>
        <v>3.7609739999999996</v>
      </c>
      <c r="I139" s="45" t="s">
        <v>870</v>
      </c>
      <c r="J139" s="49">
        <f>VLOOKUP(D139,BM!$B$3:$Y$58,12,FALSE)</f>
        <v>1.36</v>
      </c>
      <c r="K139" s="49"/>
      <c r="L139" s="46">
        <f t="shared" si="14"/>
        <v>5.1149246399999999</v>
      </c>
      <c r="M139" s="46">
        <v>1</v>
      </c>
      <c r="N139" s="46">
        <f t="shared" si="15"/>
        <v>6.1149246399999999</v>
      </c>
    </row>
    <row r="140" spans="1:14" ht="18.75" customHeight="1">
      <c r="H140" s="47"/>
      <c r="I140" s="47"/>
      <c r="J140" s="48"/>
      <c r="K140" s="48"/>
      <c r="L140" s="48"/>
      <c r="M140" s="48"/>
      <c r="N140" s="48"/>
    </row>
    <row r="141" spans="1:14" ht="18.75" customHeight="1">
      <c r="A141" s="37" t="s">
        <v>850</v>
      </c>
      <c r="B141" s="38" t="s">
        <v>851</v>
      </c>
      <c r="C141" s="38"/>
      <c r="D141" s="39" t="s">
        <v>2</v>
      </c>
      <c r="E141" s="39" t="s">
        <v>892</v>
      </c>
      <c r="F141" s="39" t="s">
        <v>893</v>
      </c>
      <c r="G141" s="39" t="s">
        <v>4</v>
      </c>
      <c r="H141" s="39" t="s">
        <v>854</v>
      </c>
      <c r="I141" s="39" t="s">
        <v>5</v>
      </c>
      <c r="J141" s="39" t="s">
        <v>855</v>
      </c>
      <c r="K141" s="39" t="s">
        <v>5</v>
      </c>
      <c r="L141" s="39" t="s">
        <v>854</v>
      </c>
      <c r="M141" s="39" t="s">
        <v>856</v>
      </c>
      <c r="N141" s="39" t="s">
        <v>857</v>
      </c>
    </row>
    <row r="142" spans="1:14" ht="18.75" customHeight="1">
      <c r="A142" s="40" t="s">
        <v>927</v>
      </c>
      <c r="B142" s="40"/>
      <c r="C142" s="41"/>
      <c r="D142" s="42">
        <v>30</v>
      </c>
      <c r="E142" s="50">
        <v>1500</v>
      </c>
      <c r="F142" s="42"/>
      <c r="G142" s="50">
        <v>2</v>
      </c>
      <c r="H142" s="45">
        <f>(E142+D142)*3.142*G142/1000</f>
        <v>9.6145200000000006</v>
      </c>
      <c r="I142" s="45" t="s">
        <v>870</v>
      </c>
      <c r="J142" s="49">
        <f>VLOOKUP(D142,BM!$B$3:$Y$58,16,FALSE)</f>
        <v>1</v>
      </c>
      <c r="K142" s="49"/>
      <c r="L142" s="46">
        <f>H142*J142</f>
        <v>9.6145200000000006</v>
      </c>
      <c r="M142" s="46">
        <v>1</v>
      </c>
      <c r="N142" s="46">
        <f>L142+M142</f>
        <v>10.614520000000001</v>
      </c>
    </row>
    <row r="143" spans="1:14" ht="18.75" customHeight="1">
      <c r="A143" s="40" t="s">
        <v>928</v>
      </c>
      <c r="B143" s="40"/>
      <c r="C143" s="41"/>
      <c r="D143" s="42">
        <v>20</v>
      </c>
      <c r="E143" s="50">
        <v>1500</v>
      </c>
      <c r="F143" s="42"/>
      <c r="G143" s="50">
        <v>2</v>
      </c>
      <c r="H143" s="45">
        <f>E143*3.142*2*G143/1000</f>
        <v>18.852</v>
      </c>
      <c r="I143" s="45" t="s">
        <v>870</v>
      </c>
      <c r="J143" s="49">
        <f>VLOOKUP(D143,BM!$B$3:$Y$58,22,FALSE)</f>
        <v>4</v>
      </c>
      <c r="K143" s="49"/>
      <c r="L143" s="46">
        <f>H143*J143</f>
        <v>75.408000000000001</v>
      </c>
      <c r="M143" s="46">
        <v>1</v>
      </c>
      <c r="N143" s="46">
        <f>L143+M143</f>
        <v>76.408000000000001</v>
      </c>
    </row>
    <row r="144" spans="1:14" ht="18.75" customHeight="1">
      <c r="A144" s="40" t="s">
        <v>929</v>
      </c>
      <c r="B144" s="40"/>
      <c r="C144" s="41" t="s">
        <v>917</v>
      </c>
      <c r="D144" s="42"/>
      <c r="E144" s="42"/>
      <c r="F144" s="42"/>
      <c r="G144" s="42">
        <v>2</v>
      </c>
      <c r="H144" s="45">
        <v>2</v>
      </c>
      <c r="I144" s="45" t="s">
        <v>81</v>
      </c>
      <c r="J144" s="49">
        <v>4</v>
      </c>
      <c r="K144" s="49"/>
      <c r="L144" s="46">
        <f>H144*J144</f>
        <v>8</v>
      </c>
      <c r="M144" s="46">
        <v>1</v>
      </c>
      <c r="N144" s="46">
        <f>L144+M144</f>
        <v>9</v>
      </c>
    </row>
    <row r="145" spans="1:14" ht="18.75" customHeight="1">
      <c r="A145" s="40" t="s">
        <v>930</v>
      </c>
      <c r="B145" s="40"/>
      <c r="C145" s="41"/>
      <c r="D145" s="50">
        <v>20</v>
      </c>
      <c r="E145" s="42"/>
      <c r="F145" s="42"/>
      <c r="G145" s="42"/>
      <c r="H145" s="45">
        <v>11.6</v>
      </c>
      <c r="I145" s="45" t="s">
        <v>870</v>
      </c>
      <c r="J145" s="49">
        <f>VLOOKUP(D145,BM!$B$3:$Y$58,22,FALSE)</f>
        <v>4</v>
      </c>
      <c r="K145" s="49"/>
      <c r="L145" s="46">
        <f>H145*J145</f>
        <v>46.4</v>
      </c>
      <c r="M145" s="46">
        <v>1</v>
      </c>
      <c r="N145" s="46">
        <f>L145+M145</f>
        <v>47.4</v>
      </c>
    </row>
    <row r="146" spans="1:14" ht="18.75" customHeight="1">
      <c r="H146" s="47"/>
      <c r="I146" s="47"/>
      <c r="J146" s="54"/>
      <c r="K146" s="54"/>
      <c r="L146" s="48"/>
      <c r="M146" s="48"/>
      <c r="N146" s="48"/>
    </row>
    <row r="147" spans="1:14" ht="18.75" customHeight="1">
      <c r="A147" s="40" t="s">
        <v>931</v>
      </c>
      <c r="B147" s="40"/>
      <c r="C147" s="41"/>
      <c r="D147" s="42"/>
      <c r="E147" s="42"/>
      <c r="F147" s="42"/>
      <c r="G147" s="42"/>
      <c r="H147" s="45">
        <v>2</v>
      </c>
      <c r="I147" s="45" t="s">
        <v>81</v>
      </c>
      <c r="J147" s="49">
        <v>2</v>
      </c>
      <c r="K147" s="49"/>
      <c r="L147" s="46">
        <f>H147*J147</f>
        <v>4</v>
      </c>
      <c r="M147" s="46">
        <v>1</v>
      </c>
      <c r="N147" s="46">
        <f>L147+M147</f>
        <v>5</v>
      </c>
    </row>
    <row r="148" spans="1:14" ht="18.75" customHeight="1">
      <c r="A148" s="40" t="s">
        <v>932</v>
      </c>
      <c r="B148" s="40"/>
      <c r="C148" s="41"/>
      <c r="D148" s="42">
        <v>12</v>
      </c>
      <c r="E148" s="42"/>
      <c r="F148" s="42"/>
      <c r="G148" s="42"/>
      <c r="H148" s="45">
        <v>3</v>
      </c>
      <c r="I148" s="45" t="s">
        <v>870</v>
      </c>
      <c r="J148" s="49">
        <f>VLOOKUP(D148,BM!$B$3:$Y$58,22,FALSE)</f>
        <v>1.6</v>
      </c>
      <c r="K148" s="49"/>
      <c r="L148" s="46">
        <f>H148*J148</f>
        <v>4.8000000000000007</v>
      </c>
      <c r="M148" s="46">
        <v>1</v>
      </c>
      <c r="N148" s="46">
        <f>L148+M148</f>
        <v>5.8000000000000007</v>
      </c>
    </row>
    <row r="149" spans="1:14" ht="18.75" customHeight="1">
      <c r="H149" s="47"/>
      <c r="I149" s="47"/>
      <c r="J149" s="54"/>
      <c r="K149" s="54"/>
      <c r="L149" s="48"/>
      <c r="M149" s="48"/>
      <c r="N149" s="48"/>
    </row>
    <row r="150" spans="1:14" ht="18.75" customHeight="1">
      <c r="H150" s="47"/>
      <c r="I150" s="47"/>
      <c r="J150" s="48"/>
      <c r="K150" s="48"/>
      <c r="L150" s="48"/>
      <c r="M150" s="48"/>
      <c r="N150" s="48"/>
    </row>
    <row r="151" spans="1:14" ht="18.75" customHeight="1">
      <c r="A151" s="37" t="s">
        <v>850</v>
      </c>
      <c r="B151" s="38" t="s">
        <v>851</v>
      </c>
      <c r="C151" s="38"/>
      <c r="D151" s="39" t="s">
        <v>2</v>
      </c>
      <c r="E151" s="39" t="s">
        <v>892</v>
      </c>
      <c r="F151" s="39" t="s">
        <v>893</v>
      </c>
      <c r="G151" s="39" t="s">
        <v>4</v>
      </c>
      <c r="H151" s="39" t="s">
        <v>854</v>
      </c>
      <c r="I151" s="39" t="s">
        <v>5</v>
      </c>
      <c r="J151" s="39" t="s">
        <v>855</v>
      </c>
      <c r="K151" s="39" t="s">
        <v>5</v>
      </c>
      <c r="L151" s="39" t="s">
        <v>854</v>
      </c>
      <c r="M151" s="39" t="s">
        <v>856</v>
      </c>
      <c r="N151" s="39" t="s">
        <v>857</v>
      </c>
    </row>
    <row r="152" spans="1:14" ht="18.75" customHeight="1">
      <c r="A152" s="40" t="s">
        <v>933</v>
      </c>
      <c r="B152" s="40" t="s">
        <v>859</v>
      </c>
      <c r="C152" s="41"/>
      <c r="D152" s="42">
        <v>24</v>
      </c>
      <c r="E152" s="50">
        <v>1700</v>
      </c>
      <c r="F152" s="42"/>
      <c r="G152" s="42">
        <v>1</v>
      </c>
      <c r="H152" s="45">
        <f>E152*1.25/1000</f>
        <v>2.125</v>
      </c>
      <c r="I152" s="45" t="s">
        <v>870</v>
      </c>
      <c r="J152" s="49">
        <f>VLOOKUP(D152,BM!$B$3:$Y$58,2,FALSE)</f>
        <v>0.1</v>
      </c>
      <c r="K152" s="49"/>
      <c r="L152" s="46">
        <f>H152*J152</f>
        <v>0.21250000000000002</v>
      </c>
      <c r="M152" s="46">
        <v>1</v>
      </c>
      <c r="N152" s="46">
        <f t="shared" ref="N152:N154" si="16">L152+M152</f>
        <v>1.2124999999999999</v>
      </c>
    </row>
    <row r="153" spans="1:14" ht="18.75" customHeight="1">
      <c r="A153" s="40" t="s">
        <v>934</v>
      </c>
      <c r="B153" s="40" t="s">
        <v>859</v>
      </c>
      <c r="C153" s="41"/>
      <c r="D153" s="42">
        <v>30</v>
      </c>
      <c r="E153" s="50">
        <v>1700</v>
      </c>
      <c r="F153" s="42"/>
      <c r="G153" s="42">
        <v>1</v>
      </c>
      <c r="H153" s="45">
        <f>E153*1.25/1000</f>
        <v>2.125</v>
      </c>
      <c r="I153" s="45" t="s">
        <v>870</v>
      </c>
      <c r="J153" s="49">
        <f>VLOOKUP(D153,BM!$B$3:$Y$58,3,FALSE)</f>
        <v>0.25</v>
      </c>
      <c r="K153" s="49"/>
      <c r="L153" s="46">
        <f>H153*J153</f>
        <v>0.53125</v>
      </c>
      <c r="M153" s="46">
        <v>1</v>
      </c>
      <c r="N153" s="46">
        <f t="shared" si="16"/>
        <v>1.53125</v>
      </c>
    </row>
    <row r="154" spans="1:14" ht="18.75" customHeight="1">
      <c r="A154" s="40" t="s">
        <v>935</v>
      </c>
      <c r="B154" s="40" t="s">
        <v>859</v>
      </c>
      <c r="C154" s="41"/>
      <c r="D154" s="50">
        <v>20</v>
      </c>
      <c r="E154" s="50">
        <v>1700</v>
      </c>
      <c r="F154" s="42"/>
      <c r="G154" s="42">
        <v>1</v>
      </c>
      <c r="H154" s="45">
        <f>E154*1.25/1000</f>
        <v>2.125</v>
      </c>
      <c r="I154" s="45" t="s">
        <v>870</v>
      </c>
      <c r="J154" s="49">
        <f>VLOOKUP(D154,BM!$B$3:$Y$58,4,FALSE)</f>
        <v>0.15</v>
      </c>
      <c r="K154" s="49"/>
      <c r="L154" s="46">
        <f>H154*J154</f>
        <v>0.31874999999999998</v>
      </c>
      <c r="M154" s="46">
        <v>1</v>
      </c>
      <c r="N154" s="46">
        <f t="shared" si="16"/>
        <v>1.3187500000000001</v>
      </c>
    </row>
    <row r="155" spans="1:14" ht="18.75" customHeight="1">
      <c r="A155" s="40" t="s">
        <v>936</v>
      </c>
      <c r="B155" s="40" t="s">
        <v>859</v>
      </c>
      <c r="C155" s="41"/>
      <c r="D155" s="42">
        <v>20</v>
      </c>
      <c r="E155" s="50">
        <v>1640</v>
      </c>
      <c r="F155" s="50">
        <v>425</v>
      </c>
      <c r="G155" s="42">
        <v>1</v>
      </c>
      <c r="H155" s="45">
        <f>(E155*2*0.001+F155*2*0.001)*G155</f>
        <v>4.13</v>
      </c>
      <c r="I155" s="45" t="s">
        <v>870</v>
      </c>
      <c r="J155" s="49">
        <f>VLOOKUP(D155,BM!$B$3:$Y$58,2,FALSE)</f>
        <v>0.1</v>
      </c>
      <c r="K155" s="49"/>
      <c r="L155" s="46">
        <f t="shared" ref="L155:L188" si="17">H155*J155</f>
        <v>0.41300000000000003</v>
      </c>
      <c r="M155" s="46">
        <v>1</v>
      </c>
      <c r="N155" s="46">
        <f t="shared" ref="N155:N188" si="18">L155+M155</f>
        <v>1.413</v>
      </c>
    </row>
    <row r="156" spans="1:14" ht="18.75" customHeight="1">
      <c r="A156" s="40" t="s">
        <v>937</v>
      </c>
      <c r="B156" s="40" t="s">
        <v>859</v>
      </c>
      <c r="C156" s="41"/>
      <c r="D156" s="42">
        <v>24</v>
      </c>
      <c r="E156" s="50">
        <v>1640</v>
      </c>
      <c r="F156" s="50">
        <v>425</v>
      </c>
      <c r="G156" s="42">
        <v>1</v>
      </c>
      <c r="H156" s="45">
        <f>(E156+D156)*3.142*2*0.001+F156*2*0.001</f>
        <v>11.306576</v>
      </c>
      <c r="I156" s="45" t="s">
        <v>870</v>
      </c>
      <c r="J156" s="49">
        <f>VLOOKUP(D156,BM!$B$3:$Y$58,3,FALSE)</f>
        <v>0.25</v>
      </c>
      <c r="K156" s="49"/>
      <c r="L156" s="46">
        <f t="shared" si="17"/>
        <v>2.8266439999999999</v>
      </c>
      <c r="M156" s="46">
        <v>1</v>
      </c>
      <c r="N156" s="46">
        <f t="shared" si="18"/>
        <v>3.8266439999999999</v>
      </c>
    </row>
    <row r="157" spans="1:14" ht="18.75" customHeight="1">
      <c r="A157" s="40" t="s">
        <v>938</v>
      </c>
      <c r="B157" s="40" t="s">
        <v>859</v>
      </c>
      <c r="C157" s="41"/>
      <c r="D157" s="50">
        <v>24</v>
      </c>
      <c r="E157" s="50">
        <v>1640</v>
      </c>
      <c r="F157" s="50">
        <v>425</v>
      </c>
      <c r="G157" s="42">
        <v>1</v>
      </c>
      <c r="H157" s="45">
        <f>(E157+D157)*3.142*2*0.001+F157*2*0.001</f>
        <v>11.306576</v>
      </c>
      <c r="I157" s="45" t="s">
        <v>870</v>
      </c>
      <c r="J157" s="49">
        <f>VLOOKUP(D157,BM!$B$3:$Y$58,4,FALSE)</f>
        <v>0.15</v>
      </c>
      <c r="K157" s="49"/>
      <c r="L157" s="46">
        <f t="shared" si="17"/>
        <v>1.6959864</v>
      </c>
      <c r="M157" s="46">
        <v>1</v>
      </c>
      <c r="N157" s="46">
        <f t="shared" si="18"/>
        <v>2.6959863999999998</v>
      </c>
    </row>
    <row r="158" spans="1:14" ht="18.75" customHeight="1">
      <c r="A158" s="40" t="s">
        <v>939</v>
      </c>
      <c r="B158" s="40" t="s">
        <v>859</v>
      </c>
      <c r="C158" s="41"/>
      <c r="D158" s="50">
        <v>24</v>
      </c>
      <c r="E158" s="50">
        <v>1640</v>
      </c>
      <c r="F158" s="50">
        <v>425</v>
      </c>
      <c r="G158" s="42">
        <v>1</v>
      </c>
      <c r="H158" s="45">
        <f>(E158+D158)*3.142*2*0.001+F158*2*0.001</f>
        <v>11.306576</v>
      </c>
      <c r="I158" s="45" t="s">
        <v>860</v>
      </c>
      <c r="J158" s="49">
        <f>VLOOKUP(D158,BM!$B$3:$Y$58,5,FALSE)</f>
        <v>0.5</v>
      </c>
      <c r="K158" s="49"/>
      <c r="L158" s="46">
        <f t="shared" si="17"/>
        <v>5.6532879999999999</v>
      </c>
      <c r="M158" s="46">
        <v>1</v>
      </c>
      <c r="N158" s="46">
        <f t="shared" si="18"/>
        <v>6.6532879999999999</v>
      </c>
    </row>
    <row r="159" spans="1:14" ht="18.75" customHeight="1">
      <c r="A159" s="40" t="s">
        <v>940</v>
      </c>
      <c r="B159" s="40" t="s">
        <v>859</v>
      </c>
      <c r="C159" s="41"/>
      <c r="D159" s="50">
        <v>20</v>
      </c>
      <c r="E159" s="50">
        <v>1700</v>
      </c>
      <c r="F159" s="42"/>
      <c r="G159" s="42">
        <v>1</v>
      </c>
      <c r="H159" s="45">
        <f>E159*1.25/1000</f>
        <v>2.125</v>
      </c>
      <c r="I159" s="45" t="s">
        <v>860</v>
      </c>
      <c r="J159" s="49">
        <f>VLOOKUP(D159,BM!$B$3:$Y$58,6,FALSE)</f>
        <v>1</v>
      </c>
      <c r="K159" s="49"/>
      <c r="L159" s="46">
        <f t="shared" si="17"/>
        <v>2.125</v>
      </c>
      <c r="M159" s="46">
        <v>1</v>
      </c>
      <c r="N159" s="46">
        <f t="shared" si="18"/>
        <v>3.125</v>
      </c>
    </row>
    <row r="160" spans="1:14" ht="18.75" customHeight="1">
      <c r="H160" s="47"/>
      <c r="I160" s="47"/>
      <c r="J160" s="48"/>
      <c r="K160" s="48"/>
      <c r="L160" s="48"/>
      <c r="M160" s="48"/>
      <c r="N160" s="48"/>
    </row>
    <row r="161" spans="1:14" ht="18.75" customHeight="1">
      <c r="A161" s="37" t="s">
        <v>850</v>
      </c>
      <c r="B161" s="38" t="s">
        <v>851</v>
      </c>
      <c r="C161" s="38"/>
      <c r="D161" s="39" t="s">
        <v>2</v>
      </c>
      <c r="E161" s="39" t="s">
        <v>892</v>
      </c>
      <c r="F161" s="39" t="s">
        <v>893</v>
      </c>
      <c r="G161" s="39" t="s">
        <v>4</v>
      </c>
      <c r="H161" s="39" t="s">
        <v>854</v>
      </c>
      <c r="I161" s="39" t="s">
        <v>5</v>
      </c>
      <c r="J161" s="39" t="s">
        <v>855</v>
      </c>
      <c r="K161" s="39" t="s">
        <v>5</v>
      </c>
      <c r="L161" s="39" t="s">
        <v>854</v>
      </c>
      <c r="M161" s="39" t="s">
        <v>856</v>
      </c>
      <c r="N161" s="39" t="s">
        <v>857</v>
      </c>
    </row>
    <row r="162" spans="1:14" ht="18.75" customHeight="1">
      <c r="A162" s="40" t="s">
        <v>941</v>
      </c>
      <c r="B162" s="40" t="s">
        <v>859</v>
      </c>
      <c r="C162" s="40" t="s">
        <v>581</v>
      </c>
      <c r="D162" s="41">
        <v>24</v>
      </c>
      <c r="E162" s="50" t="s">
        <v>942</v>
      </c>
      <c r="F162" s="50" t="s">
        <v>943</v>
      </c>
      <c r="G162" s="42">
        <v>1</v>
      </c>
      <c r="H162" s="42">
        <v>1</v>
      </c>
      <c r="I162" s="45"/>
      <c r="J162" s="45">
        <f>VLOOKUP(D162,BM!$B$3:$Y$58,7,FALSE)</f>
        <v>2</v>
      </c>
      <c r="K162" s="45"/>
      <c r="L162" s="49">
        <f t="shared" si="17"/>
        <v>2</v>
      </c>
      <c r="M162" s="46">
        <v>1</v>
      </c>
      <c r="N162" s="46">
        <f t="shared" si="18"/>
        <v>3</v>
      </c>
    </row>
    <row r="163" spans="1:14" ht="18.75" customHeight="1">
      <c r="A163" s="40" t="s">
        <v>944</v>
      </c>
      <c r="B163" s="40" t="s">
        <v>859</v>
      </c>
      <c r="C163" s="40"/>
      <c r="D163" s="41">
        <v>24</v>
      </c>
      <c r="E163" s="50" t="str">
        <f>E162</f>
        <v>1640 ID</v>
      </c>
      <c r="F163" s="50">
        <v>425</v>
      </c>
      <c r="G163" s="42">
        <v>1</v>
      </c>
      <c r="H163" s="42">
        <f>F163*0.001*G163</f>
        <v>0.42499999999999999</v>
      </c>
      <c r="I163" s="45"/>
      <c r="J163" s="45">
        <f>VLOOKUP(D163,BM!$B$3:$Y$58,8,FALSE)</f>
        <v>0.5</v>
      </c>
      <c r="K163" s="45"/>
      <c r="L163" s="49">
        <f t="shared" si="17"/>
        <v>0.21249999999999999</v>
      </c>
      <c r="M163" s="46">
        <v>1</v>
      </c>
      <c r="N163" s="46">
        <f t="shared" si="18"/>
        <v>1.2124999999999999</v>
      </c>
    </row>
    <row r="164" spans="1:14" ht="18.75" customHeight="1">
      <c r="A164" s="40" t="s">
        <v>945</v>
      </c>
      <c r="B164" s="40" t="s">
        <v>859</v>
      </c>
      <c r="C164" s="40"/>
      <c r="D164" s="41">
        <v>24</v>
      </c>
      <c r="E164" s="50" t="str">
        <f t="shared" ref="E164:E165" si="19">E163</f>
        <v>1640 ID</v>
      </c>
      <c r="F164" s="52">
        <v>425</v>
      </c>
      <c r="G164" s="42">
        <v>1</v>
      </c>
      <c r="H164" s="42">
        <f>F164*0.001*G164</f>
        <v>0.42499999999999999</v>
      </c>
      <c r="I164" s="45"/>
      <c r="J164" s="45">
        <f>VLOOKUP(D164,BM!$B$3:$Y$58,9,FALSE)</f>
        <v>1</v>
      </c>
      <c r="K164" s="45"/>
      <c r="L164" s="49">
        <f t="shared" si="17"/>
        <v>0.42499999999999999</v>
      </c>
      <c r="M164" s="46">
        <v>1</v>
      </c>
      <c r="N164" s="46">
        <f t="shared" si="18"/>
        <v>1.425</v>
      </c>
    </row>
    <row r="165" spans="1:14" ht="18.75" customHeight="1">
      <c r="A165" s="40" t="s">
        <v>946</v>
      </c>
      <c r="B165" s="40" t="s">
        <v>859</v>
      </c>
      <c r="C165" s="40" t="s">
        <v>581</v>
      </c>
      <c r="D165" s="41">
        <v>24</v>
      </c>
      <c r="E165" s="50" t="str">
        <f t="shared" si="19"/>
        <v>1640 ID</v>
      </c>
      <c r="F165" s="52" t="s">
        <v>947</v>
      </c>
      <c r="G165" s="42">
        <v>1</v>
      </c>
      <c r="H165" s="42">
        <v>1</v>
      </c>
      <c r="I165" s="45"/>
      <c r="J165" s="45">
        <v>2</v>
      </c>
      <c r="K165" s="45"/>
      <c r="L165" s="49">
        <f t="shared" si="17"/>
        <v>2</v>
      </c>
      <c r="M165" s="46">
        <v>1</v>
      </c>
      <c r="N165" s="46">
        <f t="shared" si="18"/>
        <v>3</v>
      </c>
    </row>
    <row r="166" spans="1:14" ht="18.75" customHeight="1">
      <c r="H166" s="47"/>
      <c r="I166" s="47"/>
      <c r="J166" s="48"/>
      <c r="K166" s="48"/>
      <c r="L166" s="48"/>
      <c r="M166" s="48"/>
      <c r="N166" s="48"/>
    </row>
    <row r="167" spans="1:14" ht="18.75" customHeight="1">
      <c r="A167" s="37" t="s">
        <v>850</v>
      </c>
      <c r="B167" s="38" t="s">
        <v>851</v>
      </c>
      <c r="C167" s="38"/>
      <c r="D167" s="39" t="s">
        <v>2</v>
      </c>
      <c r="E167" s="39" t="s">
        <v>892</v>
      </c>
      <c r="F167" s="39" t="s">
        <v>893</v>
      </c>
      <c r="G167" s="39" t="s">
        <v>4</v>
      </c>
      <c r="H167" s="39" t="s">
        <v>854</v>
      </c>
      <c r="I167" s="39" t="s">
        <v>5</v>
      </c>
      <c r="J167" s="39" t="s">
        <v>855</v>
      </c>
      <c r="K167" s="39" t="s">
        <v>5</v>
      </c>
      <c r="L167" s="39" t="s">
        <v>854</v>
      </c>
      <c r="M167" s="39" t="s">
        <v>856</v>
      </c>
      <c r="N167" s="39" t="s">
        <v>857</v>
      </c>
    </row>
    <row r="168" spans="1:14" ht="18.75" customHeight="1">
      <c r="A168" s="40" t="s">
        <v>948</v>
      </c>
      <c r="B168" s="40" t="s">
        <v>859</v>
      </c>
      <c r="C168" s="40" t="s">
        <v>581</v>
      </c>
      <c r="D168" s="41">
        <v>24</v>
      </c>
      <c r="E168" s="42">
        <f t="shared" ref="E168:E176" si="20">1640</f>
        <v>1640</v>
      </c>
      <c r="F168" s="52">
        <v>512</v>
      </c>
      <c r="G168" s="42">
        <v>1</v>
      </c>
      <c r="H168" s="42">
        <f>F168/1000*G168</f>
        <v>0.51200000000000001</v>
      </c>
      <c r="I168" s="45" t="s">
        <v>870</v>
      </c>
      <c r="J168" s="45">
        <f>VLOOKUP(D168,BM!$B$3:$Y$58,6,FALSE)</f>
        <v>1</v>
      </c>
      <c r="K168" s="45"/>
      <c r="L168" s="49">
        <f t="shared" si="17"/>
        <v>0.51200000000000001</v>
      </c>
      <c r="M168" s="46">
        <v>1</v>
      </c>
      <c r="N168" s="46">
        <f t="shared" si="18"/>
        <v>1.512</v>
      </c>
    </row>
    <row r="169" spans="1:14" ht="18.75" customHeight="1">
      <c r="A169" s="40" t="s">
        <v>949</v>
      </c>
      <c r="B169" s="40" t="s">
        <v>859</v>
      </c>
      <c r="C169" s="40"/>
      <c r="D169" s="41">
        <v>24</v>
      </c>
      <c r="E169" s="42">
        <f t="shared" si="20"/>
        <v>1640</v>
      </c>
      <c r="F169" s="52">
        <v>512</v>
      </c>
      <c r="G169" s="42">
        <v>1</v>
      </c>
      <c r="H169" s="42">
        <f>F169/1000*G169</f>
        <v>0.51200000000000001</v>
      </c>
      <c r="I169" s="45" t="s">
        <v>870</v>
      </c>
      <c r="J169" s="45">
        <f>VLOOKUP(D169,BM!$B$3:$Y$58,10,FALSE)</f>
        <v>1</v>
      </c>
      <c r="K169" s="45"/>
      <c r="L169" s="49">
        <f t="shared" si="17"/>
        <v>0.51200000000000001</v>
      </c>
      <c r="M169" s="46">
        <v>1</v>
      </c>
      <c r="N169" s="46">
        <f t="shared" si="18"/>
        <v>1.512</v>
      </c>
    </row>
    <row r="170" spans="1:14" ht="18.75" customHeight="1">
      <c r="A170" s="40" t="s">
        <v>950</v>
      </c>
      <c r="B170" s="40" t="s">
        <v>859</v>
      </c>
      <c r="C170" s="40" t="s">
        <v>581</v>
      </c>
      <c r="D170" s="41">
        <v>24</v>
      </c>
      <c r="E170" s="42">
        <f t="shared" si="20"/>
        <v>1640</v>
      </c>
      <c r="F170" s="52">
        <v>512</v>
      </c>
      <c r="G170" s="42">
        <v>1</v>
      </c>
      <c r="H170" s="42">
        <f>F170/1000*G170</f>
        <v>0.51200000000000001</v>
      </c>
      <c r="I170" s="45" t="s">
        <v>870</v>
      </c>
      <c r="J170" s="45">
        <v>2</v>
      </c>
      <c r="K170" s="45"/>
      <c r="L170" s="49">
        <f t="shared" si="17"/>
        <v>1.024</v>
      </c>
      <c r="M170" s="46">
        <v>1</v>
      </c>
      <c r="N170" s="46">
        <f t="shared" si="18"/>
        <v>2.024</v>
      </c>
    </row>
    <row r="171" spans="1:14" ht="18.75" customHeight="1">
      <c r="A171" s="40" t="s">
        <v>951</v>
      </c>
      <c r="B171" s="40" t="s">
        <v>859</v>
      </c>
      <c r="C171" s="40"/>
      <c r="D171" s="41">
        <v>16</v>
      </c>
      <c r="E171" s="42">
        <f t="shared" si="20"/>
        <v>1640</v>
      </c>
      <c r="F171" s="52">
        <v>512</v>
      </c>
      <c r="G171" s="42">
        <v>1</v>
      </c>
      <c r="H171" s="42">
        <f>F171/1000*G171</f>
        <v>0.51200000000000001</v>
      </c>
      <c r="I171" s="45" t="s">
        <v>870</v>
      </c>
      <c r="J171" s="45">
        <f>VLOOKUP(D171,BM!$B$3:$Y$58,12,FALSE)</f>
        <v>4.0199999999999996</v>
      </c>
      <c r="K171" s="45"/>
      <c r="L171" s="49">
        <f t="shared" si="17"/>
        <v>2.0582399999999996</v>
      </c>
      <c r="M171" s="46">
        <v>1</v>
      </c>
      <c r="N171" s="46">
        <f t="shared" si="18"/>
        <v>3.0582399999999996</v>
      </c>
    </row>
    <row r="172" spans="1:14" ht="18.75" customHeight="1">
      <c r="A172" s="40" t="s">
        <v>952</v>
      </c>
      <c r="B172" s="40" t="s">
        <v>859</v>
      </c>
      <c r="C172" s="40"/>
      <c r="D172" s="41">
        <v>16</v>
      </c>
      <c r="E172" s="42">
        <f t="shared" si="20"/>
        <v>1640</v>
      </c>
      <c r="F172" s="52">
        <v>512</v>
      </c>
      <c r="G172" s="42">
        <v>1</v>
      </c>
      <c r="H172" s="42">
        <f>F172/1000*G172</f>
        <v>0.51200000000000001</v>
      </c>
      <c r="I172" s="45" t="s">
        <v>870</v>
      </c>
      <c r="J172" s="45">
        <f>VLOOKUP(D172,BM!$B$3:$Y$58,18,FALSE)</f>
        <v>1</v>
      </c>
      <c r="K172" s="45"/>
      <c r="L172" s="49">
        <f t="shared" si="17"/>
        <v>0.51200000000000001</v>
      </c>
      <c r="M172" s="46">
        <v>1</v>
      </c>
      <c r="N172" s="46">
        <f t="shared" si="18"/>
        <v>1.512</v>
      </c>
    </row>
    <row r="173" spans="1:14" ht="18.75" customHeight="1">
      <c r="A173" s="40" t="s">
        <v>953</v>
      </c>
      <c r="B173" s="40" t="s">
        <v>859</v>
      </c>
      <c r="C173" s="40"/>
      <c r="D173" s="41">
        <v>12</v>
      </c>
      <c r="E173" s="42">
        <f t="shared" si="20"/>
        <v>1640</v>
      </c>
      <c r="F173" s="52">
        <v>512</v>
      </c>
      <c r="G173" s="42">
        <v>1</v>
      </c>
      <c r="H173" s="42">
        <f>F172/1000*G173</f>
        <v>0.51200000000000001</v>
      </c>
      <c r="I173" s="45" t="s">
        <v>870</v>
      </c>
      <c r="J173" s="45">
        <f>VLOOKUP(D173,BM!$B$3:$Y$58,12,FALSE)</f>
        <v>2.5</v>
      </c>
      <c r="K173" s="45"/>
      <c r="L173" s="49">
        <f t="shared" si="17"/>
        <v>1.28</v>
      </c>
      <c r="M173" s="46">
        <v>1</v>
      </c>
      <c r="N173" s="46">
        <f t="shared" si="18"/>
        <v>2.2800000000000002</v>
      </c>
    </row>
    <row r="174" spans="1:14" ht="18.75" customHeight="1">
      <c r="A174" s="40" t="s">
        <v>954</v>
      </c>
      <c r="B174" s="40" t="s">
        <v>859</v>
      </c>
      <c r="C174" s="40"/>
      <c r="D174" s="41">
        <v>12</v>
      </c>
      <c r="E174" s="42">
        <f t="shared" si="20"/>
        <v>1640</v>
      </c>
      <c r="F174" s="52">
        <v>512</v>
      </c>
      <c r="G174" s="42">
        <v>1</v>
      </c>
      <c r="H174" s="42">
        <f>F173/1000*G174</f>
        <v>0.51200000000000001</v>
      </c>
      <c r="I174" s="45" t="s">
        <v>870</v>
      </c>
      <c r="J174" s="45">
        <f>VLOOKUP(D174,BM!$B$3:$Y$58,20,FALSE)</f>
        <v>0.5</v>
      </c>
      <c r="K174" s="45"/>
      <c r="L174" s="49">
        <f t="shared" si="17"/>
        <v>0.25600000000000001</v>
      </c>
      <c r="M174" s="46">
        <v>1</v>
      </c>
      <c r="N174" s="46">
        <f t="shared" si="18"/>
        <v>1.256</v>
      </c>
    </row>
    <row r="175" spans="1:14" ht="18.75" customHeight="1">
      <c r="A175" s="40" t="s">
        <v>955</v>
      </c>
      <c r="B175" s="40" t="s">
        <v>859</v>
      </c>
      <c r="C175" s="40" t="s">
        <v>581</v>
      </c>
      <c r="D175" s="41">
        <v>12</v>
      </c>
      <c r="E175" s="42">
        <f t="shared" si="20"/>
        <v>1640</v>
      </c>
      <c r="F175" s="42">
        <v>512</v>
      </c>
      <c r="G175" s="42">
        <v>1</v>
      </c>
      <c r="H175" s="42">
        <v>1</v>
      </c>
      <c r="I175" s="45" t="s">
        <v>39</v>
      </c>
      <c r="J175" s="45"/>
      <c r="K175" s="45"/>
      <c r="L175" s="49"/>
      <c r="M175" s="46"/>
      <c r="N175" s="46" t="s">
        <v>886</v>
      </c>
    </row>
    <row r="176" spans="1:14" ht="18.75" customHeight="1">
      <c r="A176" s="40" t="s">
        <v>956</v>
      </c>
      <c r="B176" s="40" t="s">
        <v>859</v>
      </c>
      <c r="C176" s="40" t="s">
        <v>581</v>
      </c>
      <c r="D176" s="41">
        <v>12</v>
      </c>
      <c r="E176" s="42">
        <f t="shared" si="20"/>
        <v>1640</v>
      </c>
      <c r="F176" s="42">
        <v>512</v>
      </c>
      <c r="G176" s="42">
        <v>1</v>
      </c>
      <c r="H176" s="42">
        <v>1</v>
      </c>
      <c r="I176" s="45" t="s">
        <v>39</v>
      </c>
      <c r="J176" s="45"/>
      <c r="K176" s="45"/>
      <c r="L176" s="49"/>
      <c r="M176" s="46"/>
      <c r="N176" s="46" t="s">
        <v>886</v>
      </c>
    </row>
    <row r="177" spans="1:14" ht="18.75" customHeight="1">
      <c r="C177" s="35"/>
      <c r="D177" s="36"/>
      <c r="I177" s="47"/>
      <c r="J177" s="47"/>
      <c r="K177" s="47"/>
      <c r="M177" s="48"/>
      <c r="N177" s="48"/>
    </row>
    <row r="178" spans="1:14" ht="18.75" customHeight="1">
      <c r="A178" s="37" t="s">
        <v>850</v>
      </c>
      <c r="B178" s="38" t="s">
        <v>851</v>
      </c>
      <c r="C178" s="38"/>
      <c r="D178" s="39" t="s">
        <v>2</v>
      </c>
      <c r="E178" s="39" t="s">
        <v>892</v>
      </c>
      <c r="F178" s="39" t="s">
        <v>893</v>
      </c>
      <c r="G178" s="39" t="s">
        <v>4</v>
      </c>
      <c r="H178" s="39" t="s">
        <v>854</v>
      </c>
      <c r="I178" s="39" t="s">
        <v>5</v>
      </c>
      <c r="J178" s="39" t="s">
        <v>855</v>
      </c>
      <c r="K178" s="39" t="s">
        <v>5</v>
      </c>
      <c r="L178" s="39" t="s">
        <v>854</v>
      </c>
      <c r="M178" s="39" t="s">
        <v>856</v>
      </c>
      <c r="N178" s="39" t="s">
        <v>857</v>
      </c>
    </row>
    <row r="179" spans="1:14" ht="18.75" customHeight="1">
      <c r="A179" s="40" t="s">
        <v>957</v>
      </c>
      <c r="B179" s="40" t="s">
        <v>859</v>
      </c>
      <c r="C179" s="40" t="s">
        <v>581</v>
      </c>
      <c r="D179" s="41">
        <v>20</v>
      </c>
      <c r="E179" s="50">
        <v>1640</v>
      </c>
      <c r="F179" s="53">
        <v>512</v>
      </c>
      <c r="G179" s="42">
        <v>1</v>
      </c>
      <c r="H179" s="42">
        <v>1</v>
      </c>
      <c r="I179" s="45" t="s">
        <v>39</v>
      </c>
      <c r="J179" s="45">
        <f>VLOOKUP(D179,BM!$B$3:$Y$58,13,FALSE)</f>
        <v>1</v>
      </c>
      <c r="K179" s="45"/>
      <c r="L179" s="49">
        <f t="shared" si="17"/>
        <v>1</v>
      </c>
      <c r="M179" s="46">
        <v>1</v>
      </c>
      <c r="N179" s="46">
        <f t="shared" si="18"/>
        <v>2</v>
      </c>
    </row>
    <row r="180" spans="1:14" ht="18.75" customHeight="1">
      <c r="A180" s="40" t="s">
        <v>958</v>
      </c>
      <c r="B180" s="40" t="s">
        <v>859</v>
      </c>
      <c r="C180" s="40"/>
      <c r="D180" s="41">
        <v>20</v>
      </c>
      <c r="E180" s="50">
        <f t="shared" ref="E180:E189" si="21">E179</f>
        <v>1640</v>
      </c>
      <c r="F180" s="53">
        <v>512</v>
      </c>
      <c r="G180" s="42">
        <v>1</v>
      </c>
      <c r="H180" s="45">
        <f>(E180+D180)*3.142/1000*G180</f>
        <v>5.2157200000000001</v>
      </c>
      <c r="I180" s="45" t="s">
        <v>870</v>
      </c>
      <c r="J180" s="45">
        <f>VLOOKUP(D180,BM!$B$3:$Y$58,16,FALSE)</f>
        <v>1</v>
      </c>
      <c r="K180" s="45"/>
      <c r="L180" s="49">
        <f t="shared" si="17"/>
        <v>5.2157200000000001</v>
      </c>
      <c r="M180" s="46">
        <v>1</v>
      </c>
      <c r="N180" s="46">
        <f t="shared" si="18"/>
        <v>6.2157200000000001</v>
      </c>
    </row>
    <row r="181" spans="1:14" ht="18.75" customHeight="1">
      <c r="A181" s="40" t="s">
        <v>959</v>
      </c>
      <c r="B181" s="40" t="s">
        <v>859</v>
      </c>
      <c r="C181" s="40"/>
      <c r="D181" s="41">
        <v>14</v>
      </c>
      <c r="E181" s="50">
        <f t="shared" si="21"/>
        <v>1640</v>
      </c>
      <c r="F181" s="53">
        <v>512</v>
      </c>
      <c r="G181" s="42">
        <v>1</v>
      </c>
      <c r="H181" s="45">
        <f t="shared" ref="H181:H188" si="22">(E181+D181)*3.142/1000*G181</f>
        <v>5.1968679999999994</v>
      </c>
      <c r="I181" s="45" t="s">
        <v>870</v>
      </c>
      <c r="J181" s="45">
        <f>VLOOKUP(D181,BM!$B$3:$Y$58,17,FALSE)</f>
        <v>3.22</v>
      </c>
      <c r="K181" s="45"/>
      <c r="L181" s="49">
        <f t="shared" si="17"/>
        <v>16.73391496</v>
      </c>
      <c r="M181" s="46">
        <v>1</v>
      </c>
      <c r="N181" s="46">
        <f t="shared" si="18"/>
        <v>17.73391496</v>
      </c>
    </row>
    <row r="182" spans="1:14" ht="18.75" customHeight="1">
      <c r="A182" s="40" t="s">
        <v>960</v>
      </c>
      <c r="B182" s="40" t="s">
        <v>859</v>
      </c>
      <c r="C182" s="40"/>
      <c r="D182" s="41">
        <v>18</v>
      </c>
      <c r="E182" s="50">
        <f t="shared" si="21"/>
        <v>1640</v>
      </c>
      <c r="F182" s="53">
        <v>512</v>
      </c>
      <c r="G182" s="42">
        <v>1</v>
      </c>
      <c r="H182" s="45">
        <f t="shared" si="22"/>
        <v>5.2094359999999993</v>
      </c>
      <c r="I182" s="45" t="s">
        <v>870</v>
      </c>
      <c r="J182" s="45">
        <f>VLOOKUP(D182,BM!$B$3:$Y$58,18,FALSE)</f>
        <v>1</v>
      </c>
      <c r="K182" s="45"/>
      <c r="L182" s="49">
        <f t="shared" si="17"/>
        <v>5.2094359999999993</v>
      </c>
      <c r="M182" s="46">
        <v>1</v>
      </c>
      <c r="N182" s="46">
        <f t="shared" si="18"/>
        <v>6.2094359999999993</v>
      </c>
    </row>
    <row r="183" spans="1:14" ht="18.75" customHeight="1">
      <c r="A183" s="40" t="s">
        <v>961</v>
      </c>
      <c r="B183" s="40" t="s">
        <v>859</v>
      </c>
      <c r="C183" s="40"/>
      <c r="D183" s="41">
        <v>6</v>
      </c>
      <c r="E183" s="50">
        <f t="shared" si="21"/>
        <v>1640</v>
      </c>
      <c r="F183" s="53">
        <v>512</v>
      </c>
      <c r="G183" s="42">
        <v>1</v>
      </c>
      <c r="H183" s="45">
        <f t="shared" si="22"/>
        <v>5.1717319999999996</v>
      </c>
      <c r="I183" s="45" t="s">
        <v>870</v>
      </c>
      <c r="J183" s="45">
        <f>VLOOKUP(D183,BM!$B$3:$Y$58,17,FALSE)</f>
        <v>0.9</v>
      </c>
      <c r="K183" s="45"/>
      <c r="L183" s="49">
        <f t="shared" si="17"/>
        <v>4.6545587999999993</v>
      </c>
      <c r="M183" s="46">
        <v>1</v>
      </c>
      <c r="N183" s="46">
        <f t="shared" si="18"/>
        <v>5.6545587999999993</v>
      </c>
    </row>
    <row r="184" spans="1:14" ht="18.75" customHeight="1">
      <c r="A184" s="40" t="s">
        <v>962</v>
      </c>
      <c r="B184" s="40" t="s">
        <v>859</v>
      </c>
      <c r="C184" s="40"/>
      <c r="D184" s="41">
        <v>20</v>
      </c>
      <c r="E184" s="50">
        <f t="shared" si="21"/>
        <v>1640</v>
      </c>
      <c r="F184" s="53">
        <v>512</v>
      </c>
      <c r="G184" s="42">
        <v>1</v>
      </c>
      <c r="H184" s="45">
        <f t="shared" si="22"/>
        <v>5.2157200000000001</v>
      </c>
      <c r="I184" s="45" t="s">
        <v>870</v>
      </c>
      <c r="J184" s="45">
        <f>VLOOKUP(D184,BM!$B$3:$Y$58,16,FALSE)</f>
        <v>1</v>
      </c>
      <c r="K184" s="45"/>
      <c r="L184" s="49">
        <f t="shared" si="17"/>
        <v>5.2157200000000001</v>
      </c>
      <c r="M184" s="46">
        <v>1</v>
      </c>
      <c r="N184" s="46">
        <f t="shared" si="18"/>
        <v>6.2157200000000001</v>
      </c>
    </row>
    <row r="185" spans="1:14" ht="18.75" customHeight="1">
      <c r="A185" s="40" t="s">
        <v>963</v>
      </c>
      <c r="B185" s="40" t="s">
        <v>859</v>
      </c>
      <c r="C185" s="40"/>
      <c r="D185" s="41">
        <v>14</v>
      </c>
      <c r="E185" s="50">
        <f t="shared" si="21"/>
        <v>1640</v>
      </c>
      <c r="F185" s="53">
        <v>512</v>
      </c>
      <c r="G185" s="42">
        <v>1</v>
      </c>
      <c r="H185" s="45">
        <f t="shared" si="22"/>
        <v>5.1968679999999994</v>
      </c>
      <c r="I185" s="45" t="s">
        <v>870</v>
      </c>
      <c r="J185" s="45">
        <f>VLOOKUP(D185,BM!$B$3:$Y$58,17,FALSE)</f>
        <v>3.22</v>
      </c>
      <c r="K185" s="45"/>
      <c r="L185" s="49">
        <f t="shared" si="17"/>
        <v>16.73391496</v>
      </c>
      <c r="M185" s="46">
        <v>1</v>
      </c>
      <c r="N185" s="46">
        <f t="shared" si="18"/>
        <v>17.73391496</v>
      </c>
    </row>
    <row r="186" spans="1:14" ht="18.75" customHeight="1">
      <c r="A186" s="40" t="s">
        <v>960</v>
      </c>
      <c r="B186" s="40" t="s">
        <v>859</v>
      </c>
      <c r="C186" s="40"/>
      <c r="D186" s="41">
        <v>6</v>
      </c>
      <c r="E186" s="50">
        <f t="shared" si="21"/>
        <v>1640</v>
      </c>
      <c r="F186" s="53">
        <v>512</v>
      </c>
      <c r="G186" s="42">
        <v>1</v>
      </c>
      <c r="H186" s="45">
        <f t="shared" si="22"/>
        <v>5.1717319999999996</v>
      </c>
      <c r="I186" s="45" t="s">
        <v>870</v>
      </c>
      <c r="J186" s="45">
        <f>VLOOKUP(D186,BM!$B$3:$Y$58,18,FALSE)</f>
        <v>1</v>
      </c>
      <c r="K186" s="45"/>
      <c r="L186" s="49">
        <f t="shared" si="17"/>
        <v>5.1717319999999996</v>
      </c>
      <c r="M186" s="46">
        <v>1</v>
      </c>
      <c r="N186" s="46">
        <f t="shared" si="18"/>
        <v>6.1717319999999996</v>
      </c>
    </row>
    <row r="187" spans="1:14" ht="18.75" customHeight="1">
      <c r="A187" s="40" t="s">
        <v>961</v>
      </c>
      <c r="B187" s="40" t="s">
        <v>859</v>
      </c>
      <c r="C187" s="40"/>
      <c r="D187" s="41">
        <v>6</v>
      </c>
      <c r="E187" s="50">
        <f t="shared" si="21"/>
        <v>1640</v>
      </c>
      <c r="F187" s="53">
        <v>512</v>
      </c>
      <c r="G187" s="42">
        <v>1</v>
      </c>
      <c r="H187" s="45">
        <f t="shared" si="22"/>
        <v>5.1717319999999996</v>
      </c>
      <c r="I187" s="45" t="s">
        <v>870</v>
      </c>
      <c r="J187" s="45">
        <f>VLOOKUP(D187,BM!$B$3:$Y$58,17,FALSE)</f>
        <v>0.9</v>
      </c>
      <c r="K187" s="45"/>
      <c r="L187" s="49">
        <f t="shared" si="17"/>
        <v>4.6545587999999993</v>
      </c>
      <c r="M187" s="46">
        <v>1</v>
      </c>
      <c r="N187" s="46">
        <f t="shared" si="18"/>
        <v>5.6545587999999993</v>
      </c>
    </row>
    <row r="188" spans="1:14" ht="18.75" customHeight="1">
      <c r="A188" s="40" t="s">
        <v>964</v>
      </c>
      <c r="B188" s="40" t="s">
        <v>859</v>
      </c>
      <c r="C188" s="40"/>
      <c r="D188" s="41">
        <v>20</v>
      </c>
      <c r="E188" s="50">
        <f t="shared" si="21"/>
        <v>1640</v>
      </c>
      <c r="F188" s="53">
        <v>512</v>
      </c>
      <c r="G188" s="42">
        <v>1</v>
      </c>
      <c r="H188" s="45">
        <f t="shared" si="22"/>
        <v>5.2157200000000001</v>
      </c>
      <c r="I188" s="45" t="s">
        <v>870</v>
      </c>
      <c r="J188" s="45">
        <f>VLOOKUP(D188,BM!$B$3:$Y$58,20,FALSE)</f>
        <v>0.5</v>
      </c>
      <c r="K188" s="45"/>
      <c r="L188" s="49">
        <f t="shared" si="17"/>
        <v>2.6078600000000001</v>
      </c>
      <c r="M188" s="46">
        <v>1</v>
      </c>
      <c r="N188" s="46">
        <f t="shared" si="18"/>
        <v>3.6078600000000001</v>
      </c>
    </row>
    <row r="189" spans="1:14" ht="18.75" customHeight="1">
      <c r="A189" s="40" t="s">
        <v>965</v>
      </c>
      <c r="B189" s="40" t="s">
        <v>859</v>
      </c>
      <c r="C189" s="40" t="s">
        <v>581</v>
      </c>
      <c r="D189" s="41"/>
      <c r="E189" s="50">
        <f t="shared" si="21"/>
        <v>1640</v>
      </c>
      <c r="F189" s="53">
        <v>512</v>
      </c>
      <c r="G189" s="42">
        <v>1</v>
      </c>
      <c r="H189" s="42">
        <v>1</v>
      </c>
      <c r="I189" s="45" t="s">
        <v>564</v>
      </c>
      <c r="J189" s="45"/>
      <c r="K189" s="45"/>
      <c r="L189" s="49"/>
      <c r="M189" s="46"/>
      <c r="N189" s="46" t="s">
        <v>886</v>
      </c>
    </row>
    <row r="190" spans="1:14" ht="18.75" customHeight="1">
      <c r="A190" s="34"/>
      <c r="B190" s="34"/>
      <c r="C190" s="34"/>
    </row>
    <row r="191" spans="1:14" ht="18.75" customHeight="1">
      <c r="A191" s="37" t="s">
        <v>850</v>
      </c>
      <c r="B191" s="38" t="s">
        <v>851</v>
      </c>
      <c r="C191" s="38"/>
      <c r="D191" s="39" t="s">
        <v>2</v>
      </c>
      <c r="E191" s="39" t="s">
        <v>892</v>
      </c>
      <c r="F191" s="39" t="s">
        <v>893</v>
      </c>
      <c r="G191" s="39" t="s">
        <v>4</v>
      </c>
      <c r="H191" s="39" t="s">
        <v>854</v>
      </c>
      <c r="I191" s="39" t="s">
        <v>5</v>
      </c>
      <c r="J191" s="39" t="s">
        <v>855</v>
      </c>
      <c r="K191" s="39" t="s">
        <v>5</v>
      </c>
      <c r="L191" s="39" t="s">
        <v>854</v>
      </c>
      <c r="M191" s="39" t="s">
        <v>856</v>
      </c>
      <c r="N191" s="39" t="s">
        <v>857</v>
      </c>
    </row>
    <row r="192" spans="1:14" ht="18.75" customHeight="1">
      <c r="A192" s="40" t="s">
        <v>966</v>
      </c>
      <c r="B192" s="40"/>
      <c r="C192" s="40"/>
      <c r="D192" s="41">
        <v>20</v>
      </c>
      <c r="E192" s="42">
        <v>1640</v>
      </c>
      <c r="F192" s="52">
        <v>512</v>
      </c>
      <c r="G192" s="42">
        <v>1</v>
      </c>
      <c r="H192" s="42">
        <v>1</v>
      </c>
      <c r="I192" s="45" t="s">
        <v>564</v>
      </c>
      <c r="J192" s="45">
        <v>4</v>
      </c>
      <c r="K192" s="45"/>
      <c r="L192" s="49">
        <f t="shared" ref="L192:L199" si="23">H192*J192</f>
        <v>4</v>
      </c>
      <c r="M192" s="46">
        <v>0</v>
      </c>
      <c r="N192" s="46">
        <v>4</v>
      </c>
    </row>
    <row r="193" spans="1:14" ht="18.75" customHeight="1">
      <c r="A193" s="40" t="s">
        <v>967</v>
      </c>
      <c r="B193" s="40" t="s">
        <v>581</v>
      </c>
      <c r="C193" s="40"/>
      <c r="D193" s="41" t="s">
        <v>968</v>
      </c>
      <c r="E193" s="42"/>
      <c r="F193" s="52"/>
      <c r="G193" s="42">
        <v>2</v>
      </c>
      <c r="H193" s="42">
        <v>2</v>
      </c>
      <c r="I193" s="45" t="s">
        <v>564</v>
      </c>
      <c r="J193" s="45">
        <v>2</v>
      </c>
      <c r="K193" s="45"/>
      <c r="L193" s="49">
        <f t="shared" si="23"/>
        <v>4</v>
      </c>
      <c r="M193" s="46">
        <v>0.5</v>
      </c>
      <c r="N193" s="46">
        <f>L193+M193</f>
        <v>4.5</v>
      </c>
    </row>
    <row r="194" spans="1:14" ht="18.75" customHeight="1">
      <c r="A194" s="40" t="s">
        <v>969</v>
      </c>
      <c r="B194" s="40" t="s">
        <v>581</v>
      </c>
      <c r="C194" s="40"/>
      <c r="D194" s="41" t="s">
        <v>968</v>
      </c>
      <c r="E194" s="42"/>
      <c r="F194" s="52"/>
      <c r="G194" s="42">
        <v>2</v>
      </c>
      <c r="H194" s="42">
        <v>2</v>
      </c>
      <c r="I194" s="45" t="s">
        <v>564</v>
      </c>
      <c r="J194" s="45">
        <v>2</v>
      </c>
      <c r="K194" s="45"/>
      <c r="L194" s="49">
        <f t="shared" si="23"/>
        <v>4</v>
      </c>
      <c r="M194" s="46">
        <v>0.5</v>
      </c>
      <c r="N194" s="46">
        <f>L194+M194</f>
        <v>4.5</v>
      </c>
    </row>
    <row r="195" spans="1:14" ht="18.75" customHeight="1">
      <c r="A195" s="40" t="s">
        <v>970</v>
      </c>
      <c r="B195" s="40" t="s">
        <v>581</v>
      </c>
      <c r="C195" s="40"/>
      <c r="D195" s="41" t="s">
        <v>968</v>
      </c>
      <c r="E195" s="42"/>
      <c r="F195" s="52"/>
      <c r="G195" s="42">
        <v>2</v>
      </c>
      <c r="H195" s="42">
        <v>2</v>
      </c>
      <c r="I195" s="45" t="s">
        <v>564</v>
      </c>
      <c r="J195" s="45">
        <v>2</v>
      </c>
      <c r="K195" s="45"/>
      <c r="L195" s="49">
        <f t="shared" si="23"/>
        <v>4</v>
      </c>
      <c r="M195" s="46">
        <v>0.5</v>
      </c>
      <c r="N195" s="46">
        <f>L195+M195</f>
        <v>4.5</v>
      </c>
    </row>
    <row r="196" spans="1:14" ht="18.75" customHeight="1">
      <c r="A196" s="40" t="s">
        <v>971</v>
      </c>
      <c r="B196" s="40"/>
      <c r="C196" s="40"/>
      <c r="D196" s="41">
        <v>14</v>
      </c>
      <c r="E196" s="42"/>
      <c r="F196" s="52">
        <f>100*3.142*0.001</f>
        <v>0.31419999999999998</v>
      </c>
      <c r="G196" s="42">
        <v>2</v>
      </c>
      <c r="H196" s="42">
        <f>F196*G196</f>
        <v>0.62839999999999996</v>
      </c>
      <c r="I196" s="45" t="s">
        <v>870</v>
      </c>
      <c r="J196" s="45">
        <f>VLOOKUP(D196,BM!$B$3:$Y$58,23,FALSE)</f>
        <v>4.4000000000000004</v>
      </c>
      <c r="K196" s="45"/>
      <c r="L196" s="49">
        <f t="shared" si="23"/>
        <v>2.7649599999999999</v>
      </c>
      <c r="M196" s="46">
        <v>1</v>
      </c>
      <c r="N196" s="46">
        <f>L196+M196</f>
        <v>3.7649599999999999</v>
      </c>
    </row>
    <row r="197" spans="1:14" ht="18.75" customHeight="1">
      <c r="A197" s="40" t="s">
        <v>971</v>
      </c>
      <c r="B197" s="40"/>
      <c r="C197" s="40"/>
      <c r="D197" s="41">
        <v>14</v>
      </c>
      <c r="E197" s="42"/>
      <c r="F197" s="52">
        <f>100*3.142*0.001</f>
        <v>0.31419999999999998</v>
      </c>
      <c r="G197" s="42">
        <v>2</v>
      </c>
      <c r="H197" s="42">
        <f>F197*G197</f>
        <v>0.62839999999999996</v>
      </c>
      <c r="I197" s="45" t="s">
        <v>870</v>
      </c>
      <c r="J197" s="45">
        <f>VLOOKUP(D197,BM!$B$3:$Y$58,23,FALSE)</f>
        <v>4.4000000000000004</v>
      </c>
      <c r="K197" s="45"/>
      <c r="L197" s="49">
        <f t="shared" si="23"/>
        <v>2.7649599999999999</v>
      </c>
      <c r="M197" s="46">
        <v>1</v>
      </c>
      <c r="N197" s="46">
        <f>L197+M197</f>
        <v>3.7649599999999999</v>
      </c>
    </row>
    <row r="198" spans="1:14" ht="18.75" customHeight="1">
      <c r="A198" s="40" t="s">
        <v>972</v>
      </c>
      <c r="B198" s="40"/>
      <c r="C198" s="40"/>
      <c r="D198" s="41">
        <v>6</v>
      </c>
      <c r="E198" s="42"/>
      <c r="F198" s="52">
        <f t="shared" ref="F198:F199" si="24">100*3.142*0.001</f>
        <v>0.31419999999999998</v>
      </c>
      <c r="G198" s="42">
        <v>2</v>
      </c>
      <c r="H198" s="42">
        <f t="shared" ref="H198:H199" si="25">F198*G198</f>
        <v>0.62839999999999996</v>
      </c>
      <c r="I198" s="45" t="s">
        <v>870</v>
      </c>
      <c r="J198" s="45">
        <f>VLOOKUP(D198,BM!$B$3:$Y$58,22,FALSE)</f>
        <v>0.6</v>
      </c>
      <c r="K198" s="45"/>
      <c r="L198" s="49">
        <f t="shared" si="23"/>
        <v>0.37703999999999999</v>
      </c>
      <c r="M198" s="46">
        <v>1</v>
      </c>
      <c r="N198" s="46">
        <f t="shared" ref="N198:N199" si="26">L198+M198</f>
        <v>1.37704</v>
      </c>
    </row>
    <row r="199" spans="1:14" ht="18.75" customHeight="1">
      <c r="A199" s="40" t="s">
        <v>972</v>
      </c>
      <c r="B199" s="40"/>
      <c r="C199" s="40"/>
      <c r="D199" s="41">
        <v>6</v>
      </c>
      <c r="E199" s="42"/>
      <c r="F199" s="52">
        <f t="shared" si="24"/>
        <v>0.31419999999999998</v>
      </c>
      <c r="G199" s="42">
        <v>2</v>
      </c>
      <c r="H199" s="42">
        <f t="shared" si="25"/>
        <v>0.62839999999999996</v>
      </c>
      <c r="I199" s="45" t="s">
        <v>870</v>
      </c>
      <c r="J199" s="45">
        <f>VLOOKUP(D199,BM!$B$3:$Y$58,22,FALSE)</f>
        <v>0.6</v>
      </c>
      <c r="K199" s="45"/>
      <c r="L199" s="49">
        <f t="shared" si="23"/>
        <v>0.37703999999999999</v>
      </c>
      <c r="M199" s="46">
        <v>1</v>
      </c>
      <c r="N199" s="46">
        <f t="shared" si="26"/>
        <v>1.37704</v>
      </c>
    </row>
    <row r="200" spans="1:14" ht="18.75" customHeight="1">
      <c r="H200" s="47"/>
      <c r="I200" s="47"/>
      <c r="J200" s="48"/>
      <c r="K200" s="48"/>
      <c r="L200" s="48"/>
      <c r="M200" s="48"/>
      <c r="N200" s="48"/>
    </row>
    <row r="201" spans="1:14" ht="18.75" customHeight="1">
      <c r="A201" s="37" t="s">
        <v>850</v>
      </c>
      <c r="B201" s="38" t="s">
        <v>851</v>
      </c>
      <c r="C201" s="38"/>
      <c r="D201" s="39" t="s">
        <v>2</v>
      </c>
      <c r="E201" s="39" t="s">
        <v>892</v>
      </c>
      <c r="F201" s="39" t="s">
        <v>893</v>
      </c>
      <c r="G201" s="39" t="s">
        <v>4</v>
      </c>
      <c r="H201" s="39" t="s">
        <v>854</v>
      </c>
      <c r="I201" s="39" t="s">
        <v>5</v>
      </c>
      <c r="J201" s="39" t="s">
        <v>855</v>
      </c>
      <c r="K201" s="39" t="s">
        <v>5</v>
      </c>
      <c r="L201" s="39" t="s">
        <v>854</v>
      </c>
      <c r="M201" s="39" t="s">
        <v>856</v>
      </c>
      <c r="N201" s="39" t="s">
        <v>857</v>
      </c>
    </row>
    <row r="202" spans="1:14" ht="18.75" customHeight="1">
      <c r="A202" s="40" t="s">
        <v>973</v>
      </c>
      <c r="B202" s="40" t="s">
        <v>859</v>
      </c>
      <c r="C202" s="40"/>
      <c r="D202" s="55">
        <v>18</v>
      </c>
      <c r="E202" s="55">
        <v>1500</v>
      </c>
      <c r="F202" s="55">
        <v>921</v>
      </c>
      <c r="G202" s="40">
        <v>1</v>
      </c>
      <c r="H202" s="45">
        <f>(E202*2*0.001+F202*2*0.001)*G202</f>
        <v>4.8420000000000005</v>
      </c>
      <c r="I202" s="40" t="s">
        <v>870</v>
      </c>
      <c r="J202" s="40">
        <f>VLOOKUP(D202,BM!$B$3:$Y$58,2,FALSE)</f>
        <v>0.1</v>
      </c>
      <c r="K202" s="40"/>
      <c r="L202" s="49">
        <f>H202*J202</f>
        <v>0.48420000000000007</v>
      </c>
      <c r="M202" s="40">
        <v>1</v>
      </c>
      <c r="N202" s="57">
        <f t="shared" ref="N202:N229" si="27">L202+M202</f>
        <v>1.4842</v>
      </c>
    </row>
    <row r="203" spans="1:14" ht="18.75" customHeight="1">
      <c r="A203" s="40" t="s">
        <v>974</v>
      </c>
      <c r="B203" s="40" t="s">
        <v>859</v>
      </c>
      <c r="C203" s="40"/>
      <c r="D203" s="55">
        <v>18</v>
      </c>
      <c r="E203" s="55">
        <v>1500</v>
      </c>
      <c r="F203" s="55">
        <v>921</v>
      </c>
      <c r="G203" s="40">
        <v>1</v>
      </c>
      <c r="H203" s="45">
        <f>((E203+D203)*3.142*2*0.001+F203*2*0.001)*G203</f>
        <v>11.381112</v>
      </c>
      <c r="I203" s="40" t="s">
        <v>870</v>
      </c>
      <c r="J203" s="40">
        <f>VLOOKUP(D203,BM!$B$3:$Y$58,3,FALSE)</f>
        <v>0.25</v>
      </c>
      <c r="K203" s="40"/>
      <c r="L203" s="49">
        <f t="shared" ref="L203:L229" si="28">H203*J203</f>
        <v>2.845278</v>
      </c>
      <c r="M203" s="40">
        <v>1</v>
      </c>
      <c r="N203" s="57">
        <f t="shared" si="27"/>
        <v>3.845278</v>
      </c>
    </row>
    <row r="204" spans="1:14" ht="18.75" customHeight="1">
      <c r="A204" s="40" t="s">
        <v>975</v>
      </c>
      <c r="B204" s="40" t="s">
        <v>859</v>
      </c>
      <c r="C204" s="40"/>
      <c r="D204" s="55">
        <v>18</v>
      </c>
      <c r="E204" s="55">
        <v>1500</v>
      </c>
      <c r="F204" s="55">
        <v>921</v>
      </c>
      <c r="G204" s="40">
        <v>1</v>
      </c>
      <c r="H204" s="46">
        <f>((E204+D204)*3.142*2*0.001+F204*2*0.001)*G204</f>
        <v>11.381112</v>
      </c>
      <c r="I204" s="40" t="s">
        <v>870</v>
      </c>
      <c r="J204" s="40">
        <f>VLOOKUP(D204,BM!$B$3:$Y$58,4,FALSE)</f>
        <v>0.15</v>
      </c>
      <c r="K204" s="40"/>
      <c r="L204" s="49">
        <f t="shared" si="28"/>
        <v>1.7071668</v>
      </c>
      <c r="M204" s="40">
        <v>1</v>
      </c>
      <c r="N204" s="57">
        <f t="shared" si="27"/>
        <v>2.7071668</v>
      </c>
    </row>
    <row r="205" spans="1:14" ht="18.75" customHeight="1">
      <c r="A205" s="40" t="s">
        <v>976</v>
      </c>
      <c r="B205" s="40" t="s">
        <v>859</v>
      </c>
      <c r="C205" s="40"/>
      <c r="D205" s="55">
        <v>18</v>
      </c>
      <c r="E205" s="55">
        <v>1500</v>
      </c>
      <c r="F205" s="55">
        <v>921</v>
      </c>
      <c r="G205" s="40">
        <v>1</v>
      </c>
      <c r="H205" s="46">
        <f>(E205+D205)*3.142*0.001*2</f>
        <v>9.5391119999999994</v>
      </c>
      <c r="I205" s="40" t="s">
        <v>870</v>
      </c>
      <c r="J205" s="40">
        <f>VLOOKUP(D205,BM!$B$3:$Y$58,5,FALSE)</f>
        <v>0.5</v>
      </c>
      <c r="K205" s="40"/>
      <c r="L205" s="49">
        <f t="shared" si="28"/>
        <v>4.7695559999999997</v>
      </c>
      <c r="M205" s="40">
        <v>1</v>
      </c>
      <c r="N205" s="57">
        <f t="shared" si="27"/>
        <v>5.7695559999999997</v>
      </c>
    </row>
    <row r="206" spans="1:14" ht="18.75" customHeight="1">
      <c r="A206" s="40" t="s">
        <v>977</v>
      </c>
      <c r="B206" s="40" t="s">
        <v>859</v>
      </c>
      <c r="C206" s="40"/>
      <c r="D206" s="55">
        <v>18</v>
      </c>
      <c r="E206" s="55">
        <v>1500</v>
      </c>
      <c r="F206" s="55">
        <v>921</v>
      </c>
      <c r="G206" s="40">
        <v>1</v>
      </c>
      <c r="H206" s="46">
        <f>(E206+D206)*3.142*0.001*2</f>
        <v>9.5391119999999994</v>
      </c>
      <c r="I206" s="40" t="s">
        <v>870</v>
      </c>
      <c r="J206" s="40">
        <f>VLOOKUP(D206,BM!$B$3:$Y$58,6,FALSE)</f>
        <v>1</v>
      </c>
      <c r="K206" s="40"/>
      <c r="L206" s="49">
        <f t="shared" si="28"/>
        <v>9.5391119999999994</v>
      </c>
      <c r="M206" s="40">
        <v>1</v>
      </c>
      <c r="N206" s="57">
        <f t="shared" si="27"/>
        <v>10.539111999999999</v>
      </c>
    </row>
    <row r="207" spans="1:14" ht="18.75" customHeight="1">
      <c r="A207" s="40" t="s">
        <v>978</v>
      </c>
      <c r="B207" s="40" t="s">
        <v>859</v>
      </c>
      <c r="C207" s="40" t="s">
        <v>581</v>
      </c>
      <c r="D207" s="55">
        <v>18</v>
      </c>
      <c r="E207" s="55">
        <v>1500</v>
      </c>
      <c r="F207" s="55">
        <v>921</v>
      </c>
      <c r="G207" s="40">
        <v>1</v>
      </c>
      <c r="H207" s="42">
        <v>1</v>
      </c>
      <c r="I207" s="40"/>
      <c r="J207" s="40">
        <v>2</v>
      </c>
      <c r="K207" s="40"/>
      <c r="L207" s="49">
        <f t="shared" si="28"/>
        <v>2</v>
      </c>
      <c r="M207" s="40">
        <v>1</v>
      </c>
      <c r="N207" s="57">
        <f t="shared" si="27"/>
        <v>3</v>
      </c>
    </row>
    <row r="208" spans="1:14" ht="18.75" customHeight="1">
      <c r="A208" s="40" t="s">
        <v>979</v>
      </c>
      <c r="B208" s="40" t="s">
        <v>859</v>
      </c>
      <c r="C208" s="40"/>
      <c r="D208" s="55">
        <v>18</v>
      </c>
      <c r="E208" s="55">
        <v>1500</v>
      </c>
      <c r="F208" s="55">
        <v>921</v>
      </c>
      <c r="G208" s="40">
        <v>1</v>
      </c>
      <c r="H208" s="42">
        <f>F208*0.002*2+G208</f>
        <v>4.6840000000000002</v>
      </c>
      <c r="I208" s="40" t="s">
        <v>870</v>
      </c>
      <c r="J208" s="40">
        <f>VLOOKUP(D208,BM!$B$3:$Y$58,8,FALSE)</f>
        <v>0.3</v>
      </c>
      <c r="K208" s="40"/>
      <c r="L208" s="49">
        <f t="shared" si="28"/>
        <v>1.4052</v>
      </c>
      <c r="M208" s="40">
        <v>1</v>
      </c>
      <c r="N208" s="57">
        <f t="shared" si="27"/>
        <v>2.4051999999999998</v>
      </c>
    </row>
    <row r="209" spans="1:14" ht="18.75" customHeight="1">
      <c r="A209" s="40" t="s">
        <v>980</v>
      </c>
      <c r="B209" s="40" t="s">
        <v>859</v>
      </c>
      <c r="C209" s="40"/>
      <c r="D209" s="55">
        <v>18</v>
      </c>
      <c r="E209" s="55">
        <v>1500</v>
      </c>
      <c r="F209" s="55">
        <v>921</v>
      </c>
      <c r="G209" s="40">
        <v>1</v>
      </c>
      <c r="H209" s="42">
        <f>E209*0.001*2</f>
        <v>3</v>
      </c>
      <c r="I209" s="40" t="s">
        <v>870</v>
      </c>
      <c r="J209" s="40">
        <f>VLOOKUP(D209,BM!$B$3:$Y$58,9,FALSE)</f>
        <v>1</v>
      </c>
      <c r="K209" s="40"/>
      <c r="L209" s="49">
        <f t="shared" si="28"/>
        <v>3</v>
      </c>
      <c r="M209" s="40">
        <v>1</v>
      </c>
      <c r="N209" s="57">
        <f t="shared" si="27"/>
        <v>4</v>
      </c>
    </row>
    <row r="210" spans="1:14" ht="18.75" customHeight="1">
      <c r="A210" s="40" t="s">
        <v>981</v>
      </c>
      <c r="B210" s="40" t="s">
        <v>859</v>
      </c>
      <c r="C210" s="40" t="s">
        <v>581</v>
      </c>
      <c r="D210" s="55">
        <v>18</v>
      </c>
      <c r="E210" s="55">
        <v>1500</v>
      </c>
      <c r="F210" s="55">
        <v>921</v>
      </c>
      <c r="G210" s="40">
        <v>1</v>
      </c>
      <c r="H210" s="42">
        <v>1</v>
      </c>
      <c r="I210" s="40" t="s">
        <v>564</v>
      </c>
      <c r="J210" s="40">
        <v>3</v>
      </c>
      <c r="K210" s="40"/>
      <c r="L210" s="49">
        <f t="shared" si="28"/>
        <v>3</v>
      </c>
      <c r="M210" s="40">
        <v>1</v>
      </c>
      <c r="N210" s="57">
        <f t="shared" si="27"/>
        <v>4</v>
      </c>
    </row>
    <row r="211" spans="1:14" ht="18.75" customHeight="1">
      <c r="H211" s="47"/>
      <c r="I211" s="47"/>
      <c r="J211" s="48"/>
      <c r="K211" s="48"/>
      <c r="L211" s="48"/>
      <c r="M211" s="48"/>
      <c r="N211" s="48"/>
    </row>
    <row r="212" spans="1:14" ht="18.75" customHeight="1">
      <c r="A212" s="37" t="s">
        <v>850</v>
      </c>
      <c r="B212" s="38" t="s">
        <v>851</v>
      </c>
      <c r="C212" s="38"/>
      <c r="D212" s="39" t="s">
        <v>2</v>
      </c>
      <c r="E212" s="39" t="s">
        <v>892</v>
      </c>
      <c r="F212" s="39" t="s">
        <v>893</v>
      </c>
      <c r="G212" s="39" t="s">
        <v>4</v>
      </c>
      <c r="H212" s="39" t="s">
        <v>854</v>
      </c>
      <c r="I212" s="39" t="s">
        <v>5</v>
      </c>
      <c r="J212" s="39" t="s">
        <v>855</v>
      </c>
      <c r="K212" s="39" t="s">
        <v>5</v>
      </c>
      <c r="L212" s="39" t="s">
        <v>854</v>
      </c>
      <c r="M212" s="39" t="s">
        <v>856</v>
      </c>
      <c r="N212" s="39" t="s">
        <v>857</v>
      </c>
    </row>
    <row r="213" spans="1:14" ht="18.75" customHeight="1">
      <c r="A213" s="40" t="s">
        <v>982</v>
      </c>
      <c r="B213" s="40" t="s">
        <v>859</v>
      </c>
      <c r="C213" s="40"/>
      <c r="D213" s="55">
        <v>18</v>
      </c>
      <c r="E213" s="55">
        <v>1500</v>
      </c>
      <c r="F213" s="55">
        <v>921</v>
      </c>
      <c r="G213" s="40">
        <v>1</v>
      </c>
      <c r="H213" s="42">
        <f>F213*0.001*2*G213</f>
        <v>1.8420000000000001</v>
      </c>
      <c r="I213" s="40" t="s">
        <v>870</v>
      </c>
      <c r="J213" s="40">
        <f>VLOOKUP(D213,BM!$B$3:$Y$58,13,FALSE)</f>
        <v>0.45</v>
      </c>
      <c r="K213" s="40"/>
      <c r="L213" s="49">
        <f t="shared" si="28"/>
        <v>0.82890000000000008</v>
      </c>
      <c r="M213" s="40">
        <v>1</v>
      </c>
      <c r="N213" s="57"/>
    </row>
    <row r="214" spans="1:14" ht="18.75" customHeight="1">
      <c r="A214" s="40" t="s">
        <v>983</v>
      </c>
      <c r="B214" s="40" t="s">
        <v>859</v>
      </c>
      <c r="C214" s="40"/>
      <c r="D214" s="55">
        <v>18</v>
      </c>
      <c r="E214" s="55">
        <v>1500</v>
      </c>
      <c r="F214" s="55">
        <v>921</v>
      </c>
      <c r="G214" s="40">
        <v>1</v>
      </c>
      <c r="H214" s="42">
        <f>F214*0.001*G214</f>
        <v>0.92100000000000004</v>
      </c>
      <c r="I214" s="40" t="s">
        <v>870</v>
      </c>
      <c r="J214" s="40">
        <f>VLOOKUP(D214,BM!$B$3:$Y$58,10,FALSE)</f>
        <v>1</v>
      </c>
      <c r="K214" s="40"/>
      <c r="L214" s="49">
        <f t="shared" si="28"/>
        <v>0.92100000000000004</v>
      </c>
      <c r="M214" s="40">
        <v>1</v>
      </c>
      <c r="N214" s="57">
        <f t="shared" ref="N214" si="29">L214+M214</f>
        <v>1.921</v>
      </c>
    </row>
    <row r="215" spans="1:14" ht="18.75" customHeight="1">
      <c r="A215" s="40" t="s">
        <v>984</v>
      </c>
      <c r="B215" s="40" t="s">
        <v>859</v>
      </c>
      <c r="C215" s="40" t="s">
        <v>581</v>
      </c>
      <c r="D215" s="55">
        <v>18</v>
      </c>
      <c r="E215" s="55">
        <v>1500</v>
      </c>
      <c r="F215" s="55">
        <v>921</v>
      </c>
      <c r="G215" s="40">
        <v>1</v>
      </c>
      <c r="H215" s="42">
        <v>1</v>
      </c>
      <c r="I215" s="40" t="s">
        <v>39</v>
      </c>
      <c r="J215" s="40">
        <v>2</v>
      </c>
      <c r="K215" s="40"/>
      <c r="L215" s="49">
        <f t="shared" si="28"/>
        <v>2</v>
      </c>
      <c r="M215" s="40">
        <v>1</v>
      </c>
      <c r="N215" s="57">
        <f t="shared" si="27"/>
        <v>3</v>
      </c>
    </row>
    <row r="216" spans="1:14" ht="18.75" customHeight="1">
      <c r="A216" s="40" t="s">
        <v>985</v>
      </c>
      <c r="B216" s="40" t="s">
        <v>859</v>
      </c>
      <c r="C216" s="40"/>
      <c r="D216" s="55">
        <v>18</v>
      </c>
      <c r="E216" s="55">
        <v>1500</v>
      </c>
      <c r="F216" s="55">
        <v>921</v>
      </c>
      <c r="G216" s="40">
        <v>1</v>
      </c>
      <c r="H216" s="42">
        <f>F216*0.001*G216</f>
        <v>0.92100000000000004</v>
      </c>
      <c r="I216" s="40" t="s">
        <v>870</v>
      </c>
      <c r="J216" s="40">
        <f>VLOOKUP(D216,BM!$B$3:$Y$58,12,FALSE)</f>
        <v>4.9000000000000004</v>
      </c>
      <c r="K216" s="40"/>
      <c r="L216" s="49">
        <f t="shared" si="28"/>
        <v>4.5129000000000001</v>
      </c>
      <c r="M216" s="40">
        <v>1</v>
      </c>
      <c r="N216" s="57">
        <f t="shared" si="27"/>
        <v>5.5129000000000001</v>
      </c>
    </row>
    <row r="217" spans="1:14" ht="18.75" customHeight="1">
      <c r="A217" s="40" t="s">
        <v>986</v>
      </c>
      <c r="B217" s="40" t="s">
        <v>859</v>
      </c>
      <c r="C217" s="40"/>
      <c r="D217" s="55">
        <v>18</v>
      </c>
      <c r="E217" s="55">
        <v>1500</v>
      </c>
      <c r="F217" s="55">
        <v>921</v>
      </c>
      <c r="G217" s="40">
        <v>1</v>
      </c>
      <c r="H217" s="42">
        <f>F217*0.001*G217</f>
        <v>0.92100000000000004</v>
      </c>
      <c r="I217" s="40" t="s">
        <v>870</v>
      </c>
      <c r="J217" s="40">
        <f>VLOOKUP(D217,BM!$B$3:$Y$58,18,FALSE)</f>
        <v>1</v>
      </c>
      <c r="K217" s="40"/>
      <c r="L217" s="49">
        <f t="shared" si="28"/>
        <v>0.92100000000000004</v>
      </c>
      <c r="M217" s="40">
        <v>1</v>
      </c>
      <c r="N217" s="57">
        <f t="shared" si="27"/>
        <v>1.921</v>
      </c>
    </row>
    <row r="218" spans="1:14" ht="18.75" customHeight="1">
      <c r="A218" s="40" t="s">
        <v>987</v>
      </c>
      <c r="B218" s="40" t="s">
        <v>859</v>
      </c>
      <c r="C218" s="40"/>
      <c r="D218" s="55">
        <v>18</v>
      </c>
      <c r="E218" s="55">
        <v>1500</v>
      </c>
      <c r="F218" s="55">
        <v>921</v>
      </c>
      <c r="G218" s="40">
        <v>1</v>
      </c>
      <c r="H218" s="42">
        <f>F218*0.001*G218</f>
        <v>0.92100000000000004</v>
      </c>
      <c r="I218" s="40" t="s">
        <v>249</v>
      </c>
      <c r="J218" s="40">
        <f>VLOOKUP(D218,BM!$B$3:$Y$58,12,FALSE)</f>
        <v>4.9000000000000004</v>
      </c>
      <c r="K218" s="40"/>
      <c r="L218" s="49">
        <f t="shared" si="28"/>
        <v>4.5129000000000001</v>
      </c>
      <c r="M218" s="40">
        <v>1</v>
      </c>
      <c r="N218" s="57">
        <f t="shared" si="27"/>
        <v>5.5129000000000001</v>
      </c>
    </row>
    <row r="219" spans="1:14" ht="18.75" customHeight="1">
      <c r="A219" s="40" t="s">
        <v>988</v>
      </c>
      <c r="B219" s="40" t="s">
        <v>859</v>
      </c>
      <c r="C219" s="40"/>
      <c r="D219" s="55">
        <v>18</v>
      </c>
      <c r="E219" s="55">
        <v>1500</v>
      </c>
      <c r="F219" s="55">
        <v>921</v>
      </c>
      <c r="G219" s="40">
        <v>1</v>
      </c>
      <c r="H219" s="42">
        <f>F219*0.001*G219</f>
        <v>0.92100000000000004</v>
      </c>
      <c r="I219" s="40" t="s">
        <v>870</v>
      </c>
      <c r="J219" s="40">
        <f>VLOOKUP(D219,BM!$B$3:$Y$58,20,FALSE)</f>
        <v>0.5</v>
      </c>
      <c r="K219" s="40"/>
      <c r="L219" s="49">
        <f t="shared" si="28"/>
        <v>0.46050000000000002</v>
      </c>
      <c r="M219" s="40">
        <v>1</v>
      </c>
      <c r="N219" s="57">
        <f t="shared" si="27"/>
        <v>1.4605000000000001</v>
      </c>
    </row>
    <row r="220" spans="1:14" ht="18.75" customHeight="1">
      <c r="A220" s="40" t="s">
        <v>989</v>
      </c>
      <c r="B220" s="40" t="s">
        <v>859</v>
      </c>
      <c r="C220" s="40" t="s">
        <v>581</v>
      </c>
      <c r="D220" s="55">
        <v>18</v>
      </c>
      <c r="E220" s="55">
        <v>1500</v>
      </c>
      <c r="F220" s="55">
        <v>921</v>
      </c>
      <c r="G220" s="40">
        <v>1</v>
      </c>
      <c r="H220" s="42">
        <v>1</v>
      </c>
      <c r="I220" s="40" t="s">
        <v>39</v>
      </c>
      <c r="J220" s="40">
        <f>VLOOKUP(D220,BM!$B$3:$Y$58,20,FALSE)</f>
        <v>0.5</v>
      </c>
      <c r="K220" s="40"/>
      <c r="L220" s="49">
        <f t="shared" si="28"/>
        <v>0.5</v>
      </c>
      <c r="M220" s="40">
        <v>1</v>
      </c>
      <c r="N220" s="57">
        <f t="shared" si="27"/>
        <v>1.5</v>
      </c>
    </row>
    <row r="221" spans="1:14" ht="18.75" customHeight="1">
      <c r="A221" s="40" t="s">
        <v>990</v>
      </c>
      <c r="B221" s="40" t="s">
        <v>859</v>
      </c>
      <c r="C221" s="40" t="s">
        <v>581</v>
      </c>
      <c r="D221" s="55">
        <v>18</v>
      </c>
      <c r="E221" s="55">
        <v>1500</v>
      </c>
      <c r="F221" s="55">
        <v>921</v>
      </c>
      <c r="G221" s="40">
        <v>1</v>
      </c>
      <c r="H221" s="42">
        <v>1</v>
      </c>
      <c r="I221" s="40" t="s">
        <v>39</v>
      </c>
      <c r="J221" s="40">
        <v>1</v>
      </c>
      <c r="K221" s="40"/>
      <c r="L221" s="49">
        <f t="shared" si="28"/>
        <v>1</v>
      </c>
      <c r="M221" s="40"/>
      <c r="N221" s="57">
        <f t="shared" si="27"/>
        <v>1</v>
      </c>
    </row>
    <row r="222" spans="1:14" ht="18.75" customHeight="1">
      <c r="A222" s="34"/>
      <c r="B222" s="34"/>
      <c r="C222" s="34"/>
    </row>
    <row r="223" spans="1:14" ht="18.75" customHeight="1">
      <c r="A223" s="37" t="s">
        <v>850</v>
      </c>
      <c r="B223" s="38" t="s">
        <v>851</v>
      </c>
      <c r="C223" s="38"/>
      <c r="D223" s="39" t="s">
        <v>2</v>
      </c>
      <c r="E223" s="39" t="s">
        <v>892</v>
      </c>
      <c r="F223" s="39" t="s">
        <v>893</v>
      </c>
      <c r="G223" s="39" t="s">
        <v>4</v>
      </c>
      <c r="H223" s="39" t="s">
        <v>854</v>
      </c>
      <c r="I223" s="39" t="s">
        <v>5</v>
      </c>
      <c r="J223" s="39" t="s">
        <v>855</v>
      </c>
      <c r="K223" s="39" t="s">
        <v>5</v>
      </c>
      <c r="L223" s="39" t="s">
        <v>854</v>
      </c>
      <c r="M223" s="39" t="s">
        <v>856</v>
      </c>
      <c r="N223" s="39" t="s">
        <v>857</v>
      </c>
    </row>
    <row r="224" spans="1:14" ht="18.75" customHeight="1">
      <c r="A224" s="40" t="s">
        <v>991</v>
      </c>
      <c r="B224" s="40" t="s">
        <v>859</v>
      </c>
      <c r="C224" s="40"/>
      <c r="D224" s="55">
        <v>18</v>
      </c>
      <c r="E224" s="55">
        <v>1500</v>
      </c>
      <c r="F224" s="55">
        <v>921</v>
      </c>
      <c r="G224" s="40">
        <v>1</v>
      </c>
      <c r="H224" s="42">
        <f>F224*0.001*G224</f>
        <v>0.92100000000000004</v>
      </c>
      <c r="I224" s="40" t="s">
        <v>870</v>
      </c>
      <c r="J224" s="40">
        <f>VLOOKUP(D224,BM!$B$3:$Y$58,13,FALSE)</f>
        <v>0.45</v>
      </c>
      <c r="K224" s="40"/>
      <c r="L224" s="49">
        <f t="shared" si="28"/>
        <v>0.41445000000000004</v>
      </c>
      <c r="M224" s="40">
        <v>11</v>
      </c>
      <c r="N224" s="57">
        <f t="shared" si="27"/>
        <v>11.41445</v>
      </c>
    </row>
    <row r="225" spans="1:14" ht="18.75" customHeight="1">
      <c r="A225" s="40" t="s">
        <v>992</v>
      </c>
      <c r="B225" s="40" t="s">
        <v>859</v>
      </c>
      <c r="C225" s="40"/>
      <c r="D225" s="55">
        <v>18</v>
      </c>
      <c r="E225" s="55">
        <v>1500</v>
      </c>
      <c r="F225" s="55">
        <v>921</v>
      </c>
      <c r="G225" s="40">
        <v>2</v>
      </c>
      <c r="H225" s="46">
        <f>(D225+E225)*3.142*0.001*G225</f>
        <v>9.5391119999999994</v>
      </c>
      <c r="I225" s="40" t="s">
        <v>870</v>
      </c>
      <c r="J225" s="40">
        <f>VLOOKUP(D225,BM!$B$3:$Y$58,16,FALSE)</f>
        <v>1</v>
      </c>
      <c r="K225" s="40"/>
      <c r="L225" s="49">
        <f t="shared" si="28"/>
        <v>9.5391119999999994</v>
      </c>
      <c r="M225" s="40">
        <v>1</v>
      </c>
      <c r="N225" s="57">
        <f t="shared" si="27"/>
        <v>10.539111999999999</v>
      </c>
    </row>
    <row r="226" spans="1:14" ht="18.75" customHeight="1">
      <c r="A226" s="40" t="s">
        <v>993</v>
      </c>
      <c r="B226" s="40" t="s">
        <v>859</v>
      </c>
      <c r="C226" s="40"/>
      <c r="D226" s="55">
        <v>12</v>
      </c>
      <c r="E226" s="55">
        <v>1500</v>
      </c>
      <c r="F226" s="55">
        <v>921</v>
      </c>
      <c r="G226" s="40">
        <v>2</v>
      </c>
      <c r="H226" s="46">
        <f>(D226+E226)*3.142*0.001*G226</f>
        <v>9.5014079999999996</v>
      </c>
      <c r="I226" s="40" t="s">
        <v>870</v>
      </c>
      <c r="J226" s="40">
        <f>VLOOKUP(D226,BM!$B$3:$Y$58,17,FALSE)</f>
        <v>2.5</v>
      </c>
      <c r="K226" s="40"/>
      <c r="L226" s="49">
        <f t="shared" si="28"/>
        <v>23.753519999999998</v>
      </c>
      <c r="M226" s="40">
        <v>1</v>
      </c>
      <c r="N226" s="57">
        <f t="shared" si="27"/>
        <v>24.753519999999998</v>
      </c>
    </row>
    <row r="227" spans="1:14" ht="18.75" customHeight="1">
      <c r="A227" s="40" t="s">
        <v>994</v>
      </c>
      <c r="B227" s="40" t="s">
        <v>859</v>
      </c>
      <c r="C227" s="40"/>
      <c r="D227" s="55">
        <v>18</v>
      </c>
      <c r="E227" s="55">
        <v>1500</v>
      </c>
      <c r="F227" s="55">
        <v>921</v>
      </c>
      <c r="G227" s="40">
        <v>2</v>
      </c>
      <c r="H227" s="46">
        <f>(D227+E227)*3.142*0.001*G227</f>
        <v>9.5391119999999994</v>
      </c>
      <c r="I227" s="40" t="s">
        <v>870</v>
      </c>
      <c r="J227" s="40">
        <f>VLOOKUP(D227,BM!$B$3:$Y$58,18,FALSE)</f>
        <v>1</v>
      </c>
      <c r="K227" s="40"/>
      <c r="L227" s="49">
        <f t="shared" si="28"/>
        <v>9.5391119999999994</v>
      </c>
      <c r="M227" s="40">
        <v>1</v>
      </c>
      <c r="N227" s="57">
        <f t="shared" si="27"/>
        <v>10.539111999999999</v>
      </c>
    </row>
    <row r="228" spans="1:14" ht="18.75" customHeight="1">
      <c r="A228" s="40" t="s">
        <v>995</v>
      </c>
      <c r="B228" s="40" t="s">
        <v>859</v>
      </c>
      <c r="C228" s="40"/>
      <c r="D228" s="55">
        <v>8</v>
      </c>
      <c r="E228" s="55">
        <v>1500</v>
      </c>
      <c r="F228" s="55">
        <v>921</v>
      </c>
      <c r="G228" s="40">
        <v>2</v>
      </c>
      <c r="H228" s="46">
        <f>(D228+E228)*3.142*0.001*G228</f>
        <v>9.4762719999999998</v>
      </c>
      <c r="I228" s="40" t="s">
        <v>870</v>
      </c>
      <c r="J228" s="40">
        <f>VLOOKUP(D228,BM!$B$3:$Y$58,18,FALSE)</f>
        <v>1</v>
      </c>
      <c r="K228" s="40"/>
      <c r="L228" s="49">
        <f t="shared" si="28"/>
        <v>9.4762719999999998</v>
      </c>
      <c r="M228" s="40">
        <v>1</v>
      </c>
      <c r="N228" s="57">
        <f t="shared" si="27"/>
        <v>10.476272</v>
      </c>
    </row>
    <row r="229" spans="1:14" ht="18.75" customHeight="1">
      <c r="A229" s="40" t="s">
        <v>996</v>
      </c>
      <c r="B229" s="40" t="s">
        <v>859</v>
      </c>
      <c r="C229" s="40"/>
      <c r="D229" s="55">
        <v>18</v>
      </c>
      <c r="E229" s="55">
        <v>1500</v>
      </c>
      <c r="F229" s="55">
        <v>921</v>
      </c>
      <c r="G229" s="40">
        <v>2</v>
      </c>
      <c r="H229" s="46">
        <f>(D229+E229)*3.142*0.001*G229</f>
        <v>9.5391119999999994</v>
      </c>
      <c r="I229" s="40" t="s">
        <v>870</v>
      </c>
      <c r="J229" s="40">
        <f>VLOOKUP(D229,BM!$B$3:$Y$58,20,FALSE)</f>
        <v>0.5</v>
      </c>
      <c r="K229" s="40"/>
      <c r="L229" s="49">
        <f t="shared" si="28"/>
        <v>4.7695559999999997</v>
      </c>
      <c r="M229" s="40">
        <v>1</v>
      </c>
      <c r="N229" s="57">
        <f t="shared" si="27"/>
        <v>5.7695559999999997</v>
      </c>
    </row>
    <row r="230" spans="1:14" ht="18.75" customHeight="1">
      <c r="A230" s="40" t="s">
        <v>997</v>
      </c>
      <c r="B230" s="40" t="s">
        <v>859</v>
      </c>
      <c r="C230" s="40" t="s">
        <v>581</v>
      </c>
      <c r="D230" s="55">
        <v>18</v>
      </c>
      <c r="E230" s="55">
        <v>1500</v>
      </c>
      <c r="F230" s="55">
        <v>921</v>
      </c>
      <c r="G230" s="40">
        <v>2</v>
      </c>
      <c r="H230" s="42">
        <v>1</v>
      </c>
      <c r="I230" s="40" t="s">
        <v>564</v>
      </c>
      <c r="J230" s="40">
        <v>1</v>
      </c>
      <c r="K230" s="40"/>
      <c r="L230" s="49"/>
      <c r="M230" s="40"/>
      <c r="N230" s="57" t="s">
        <v>886</v>
      </c>
    </row>
    <row r="231" spans="1:14" ht="18.75" customHeight="1">
      <c r="A231" s="34"/>
      <c r="B231" s="34"/>
      <c r="C231" s="34"/>
    </row>
    <row r="232" spans="1:14" ht="18.75" customHeight="1">
      <c r="A232" s="37" t="s">
        <v>850</v>
      </c>
      <c r="B232" s="38" t="s">
        <v>851</v>
      </c>
      <c r="C232" s="38"/>
      <c r="D232" s="39" t="s">
        <v>2</v>
      </c>
      <c r="E232" s="39" t="s">
        <v>892</v>
      </c>
      <c r="F232" s="39" t="s">
        <v>893</v>
      </c>
      <c r="G232" s="39" t="s">
        <v>4</v>
      </c>
      <c r="H232" s="39" t="s">
        <v>854</v>
      </c>
      <c r="I232" s="39" t="s">
        <v>5</v>
      </c>
      <c r="J232" s="39" t="s">
        <v>855</v>
      </c>
      <c r="K232" s="39" t="s">
        <v>5</v>
      </c>
      <c r="L232" s="39" t="s">
        <v>854</v>
      </c>
      <c r="M232" s="39" t="s">
        <v>856</v>
      </c>
      <c r="N232" s="39" t="s">
        <v>857</v>
      </c>
    </row>
    <row r="233" spans="1:14" ht="18.75" customHeight="1">
      <c r="A233" s="40" t="s">
        <v>998</v>
      </c>
      <c r="B233" s="40" t="s">
        <v>859</v>
      </c>
      <c r="C233" s="40"/>
      <c r="D233" s="55">
        <v>18</v>
      </c>
      <c r="E233" s="55">
        <v>1500</v>
      </c>
      <c r="F233" s="55">
        <v>921</v>
      </c>
      <c r="G233" s="40">
        <v>1</v>
      </c>
      <c r="H233" s="42">
        <v>1</v>
      </c>
      <c r="I233" s="40" t="s">
        <v>564</v>
      </c>
      <c r="J233" s="40">
        <v>3</v>
      </c>
      <c r="K233" s="40"/>
      <c r="L233" s="49">
        <f t="shared" ref="L233:L281" si="30">H233*J233</f>
        <v>3</v>
      </c>
      <c r="M233" s="40">
        <v>1</v>
      </c>
      <c r="N233" s="57">
        <v>3</v>
      </c>
    </row>
    <row r="234" spans="1:14" ht="18.75" customHeight="1">
      <c r="A234" s="40" t="s">
        <v>999</v>
      </c>
      <c r="B234" s="40" t="s">
        <v>581</v>
      </c>
      <c r="C234" s="40"/>
      <c r="D234" s="40" t="s">
        <v>695</v>
      </c>
      <c r="E234" s="40">
        <v>1500</v>
      </c>
      <c r="F234" s="40">
        <v>921</v>
      </c>
      <c r="G234" s="40">
        <v>2</v>
      </c>
      <c r="H234" s="42">
        <v>2</v>
      </c>
      <c r="I234" s="40" t="s">
        <v>564</v>
      </c>
      <c r="J234" s="40">
        <v>4</v>
      </c>
      <c r="K234" s="40"/>
      <c r="L234" s="49">
        <f t="shared" si="30"/>
        <v>8</v>
      </c>
      <c r="M234" s="40">
        <v>1</v>
      </c>
      <c r="N234" s="57">
        <f t="shared" ref="N234:N281" si="31">L234+M234</f>
        <v>9</v>
      </c>
    </row>
    <row r="235" spans="1:14" ht="18.75" customHeight="1">
      <c r="A235" s="40" t="s">
        <v>1000</v>
      </c>
      <c r="B235" s="40" t="s">
        <v>581</v>
      </c>
      <c r="C235" s="40"/>
      <c r="D235" s="40" t="s">
        <v>695</v>
      </c>
      <c r="E235" s="55">
        <v>1500</v>
      </c>
      <c r="F235" s="55">
        <v>921</v>
      </c>
      <c r="G235" s="40">
        <v>2</v>
      </c>
      <c r="H235" s="42">
        <v>2</v>
      </c>
      <c r="I235" s="40" t="s">
        <v>564</v>
      </c>
      <c r="J235" s="40">
        <v>4</v>
      </c>
      <c r="K235" s="40"/>
      <c r="L235" s="49">
        <f t="shared" si="30"/>
        <v>8</v>
      </c>
      <c r="M235" s="40">
        <v>1</v>
      </c>
      <c r="N235" s="57">
        <f t="shared" si="31"/>
        <v>9</v>
      </c>
    </row>
    <row r="236" spans="1:14" ht="18.75" customHeight="1">
      <c r="A236" s="40" t="s">
        <v>1001</v>
      </c>
      <c r="B236" s="40"/>
      <c r="C236" s="40"/>
      <c r="D236" s="55">
        <v>18</v>
      </c>
      <c r="E236" s="55">
        <v>1500</v>
      </c>
      <c r="F236" s="55">
        <v>921</v>
      </c>
      <c r="G236" s="40">
        <v>2</v>
      </c>
      <c r="H236" s="58">
        <f>16*25.4*3.142*0.001*G236</f>
        <v>2.5538175999999999</v>
      </c>
      <c r="I236" s="40" t="s">
        <v>870</v>
      </c>
      <c r="J236" s="40">
        <f>VLOOKUP(D236,BM!$B$3:$Y$58,23,FALSE)</f>
        <v>6.8</v>
      </c>
      <c r="K236" s="40"/>
      <c r="L236" s="49">
        <f t="shared" si="30"/>
        <v>17.36595968</v>
      </c>
      <c r="M236" s="40">
        <v>1</v>
      </c>
      <c r="N236" s="57">
        <f t="shared" si="31"/>
        <v>18.36595968</v>
      </c>
    </row>
    <row r="237" spans="1:14" ht="18.75" customHeight="1">
      <c r="A237" s="40" t="s">
        <v>1002</v>
      </c>
      <c r="B237" s="40"/>
      <c r="C237" s="40"/>
      <c r="D237" s="55">
        <v>18</v>
      </c>
      <c r="E237" s="55">
        <v>1500</v>
      </c>
      <c r="F237" s="55">
        <v>921</v>
      </c>
      <c r="G237" s="40">
        <v>2</v>
      </c>
      <c r="H237" s="58">
        <f>16*25.4*3.142*0.001*G237</f>
        <v>2.5538175999999999</v>
      </c>
      <c r="I237" s="40" t="s">
        <v>870</v>
      </c>
      <c r="J237" s="40">
        <f>VLOOKUP(D237,BM!$B$3:$Y$58,18,FALSE)</f>
        <v>1</v>
      </c>
      <c r="K237" s="40"/>
      <c r="L237" s="49">
        <f t="shared" si="30"/>
        <v>2.5538175999999999</v>
      </c>
      <c r="M237" s="40">
        <v>1</v>
      </c>
      <c r="N237" s="57">
        <f t="shared" si="31"/>
        <v>3.5538175999999999</v>
      </c>
    </row>
    <row r="238" spans="1:14" ht="18.75" customHeight="1">
      <c r="A238" s="40" t="s">
        <v>1003</v>
      </c>
      <c r="B238" s="40"/>
      <c r="C238" s="40"/>
      <c r="D238" s="55">
        <v>10</v>
      </c>
      <c r="E238" s="55">
        <v>1500</v>
      </c>
      <c r="F238" s="55">
        <v>921</v>
      </c>
      <c r="G238" s="40">
        <v>2</v>
      </c>
      <c r="H238" s="58">
        <f>16*25.4*3.142*0.001*G238</f>
        <v>2.5538175999999999</v>
      </c>
      <c r="I238" s="40" t="s">
        <v>870</v>
      </c>
      <c r="J238" s="40">
        <f>VLOOKUP(D238,BM!$B$3:$Y$58,22,FALSE)</f>
        <v>1.2</v>
      </c>
      <c r="K238" s="40"/>
      <c r="L238" s="49">
        <f t="shared" si="30"/>
        <v>3.0645811199999997</v>
      </c>
      <c r="M238" s="40">
        <v>1</v>
      </c>
      <c r="N238" s="57">
        <f t="shared" si="31"/>
        <v>4.0645811199999997</v>
      </c>
    </row>
    <row r="239" spans="1:14" ht="18.75" customHeight="1">
      <c r="A239" s="40" t="s">
        <v>1004</v>
      </c>
      <c r="B239" s="40"/>
      <c r="C239" s="40"/>
      <c r="D239" s="55">
        <v>8</v>
      </c>
      <c r="E239" s="55">
        <v>1500</v>
      </c>
      <c r="F239" s="55">
        <v>921</v>
      </c>
      <c r="G239" s="40">
        <v>2</v>
      </c>
      <c r="H239" s="58">
        <f>16*25.4*3.142*0.001*G239</f>
        <v>2.5538175999999999</v>
      </c>
      <c r="I239" s="40" t="s">
        <v>870</v>
      </c>
      <c r="J239" s="40">
        <f>VLOOKUP(D239,BM!$B$3:$Y$58,20,FALSE)</f>
        <v>0.5</v>
      </c>
      <c r="K239" s="40"/>
      <c r="L239" s="49">
        <f t="shared" si="30"/>
        <v>1.2769088</v>
      </c>
      <c r="M239" s="40">
        <v>1</v>
      </c>
      <c r="N239" s="57">
        <f t="shared" si="31"/>
        <v>2.2769088000000002</v>
      </c>
    </row>
    <row r="240" spans="1:14" ht="18.75" customHeight="1">
      <c r="A240" s="34"/>
      <c r="B240" s="34"/>
      <c r="C240" s="34"/>
    </row>
    <row r="241" spans="1:14" ht="18.75" customHeight="1">
      <c r="A241" s="34"/>
      <c r="B241" s="34"/>
      <c r="C241" s="34"/>
    </row>
    <row r="242" spans="1:14" ht="18.75" customHeight="1">
      <c r="A242" s="37" t="s">
        <v>850</v>
      </c>
      <c r="B242" s="38" t="s">
        <v>851</v>
      </c>
      <c r="C242" s="38"/>
      <c r="D242" s="39" t="s">
        <v>2</v>
      </c>
      <c r="E242" s="39" t="s">
        <v>892</v>
      </c>
      <c r="F242" s="39" t="s">
        <v>893</v>
      </c>
      <c r="G242" s="39" t="s">
        <v>4</v>
      </c>
      <c r="H242" s="39" t="s">
        <v>854</v>
      </c>
      <c r="I242" s="39" t="s">
        <v>5</v>
      </c>
      <c r="J242" s="39" t="s">
        <v>855</v>
      </c>
      <c r="K242" s="39" t="s">
        <v>5</v>
      </c>
      <c r="L242" s="39" t="s">
        <v>854</v>
      </c>
      <c r="M242" s="39" t="s">
        <v>856</v>
      </c>
      <c r="N242" s="39" t="s">
        <v>857</v>
      </c>
    </row>
    <row r="243" spans="1:14" ht="18.75" customHeight="1">
      <c r="A243" s="40" t="s">
        <v>1005</v>
      </c>
      <c r="B243" s="40" t="s">
        <v>859</v>
      </c>
      <c r="C243" s="40"/>
      <c r="D243" s="55">
        <v>25</v>
      </c>
      <c r="E243" s="55">
        <v>735</v>
      </c>
      <c r="F243" s="56">
        <v>1275</v>
      </c>
      <c r="G243" s="55">
        <v>1</v>
      </c>
      <c r="H243" s="46">
        <f>(E243*2*0.001+F243*2*0.001)*G243</f>
        <v>4.0200000000000005</v>
      </c>
      <c r="I243" s="40" t="s">
        <v>870</v>
      </c>
      <c r="J243" s="40">
        <f>VLOOKUP(D243,BM!$B$3:$Y$58,2,FALSE)</f>
        <v>0.1</v>
      </c>
      <c r="K243" s="40" t="s">
        <v>895</v>
      </c>
      <c r="L243" s="49">
        <f>H243*J243</f>
        <v>0.40200000000000008</v>
      </c>
      <c r="M243" s="40">
        <v>1</v>
      </c>
      <c r="N243" s="57">
        <f>L243+M243</f>
        <v>1.4020000000000001</v>
      </c>
    </row>
    <row r="244" spans="1:14" ht="18.75" customHeight="1">
      <c r="A244" s="40" t="s">
        <v>1005</v>
      </c>
      <c r="B244" s="40" t="s">
        <v>859</v>
      </c>
      <c r="C244" s="40"/>
      <c r="D244" s="55">
        <v>25</v>
      </c>
      <c r="E244" s="55">
        <v>1080</v>
      </c>
      <c r="F244" s="56">
        <v>1275</v>
      </c>
      <c r="G244" s="55">
        <v>1</v>
      </c>
      <c r="H244" s="46">
        <f t="shared" ref="H244:H246" si="32">(E244*2*0.001+F244*2*0.001)*G244</f>
        <v>4.7100000000000009</v>
      </c>
      <c r="I244" s="40" t="s">
        <v>870</v>
      </c>
      <c r="J244" s="40">
        <f>VLOOKUP(D244,BM!$B$3:$Y$58,2,FALSE)</f>
        <v>0.1</v>
      </c>
      <c r="K244" s="40" t="s">
        <v>895</v>
      </c>
      <c r="L244" s="49">
        <f t="shared" ref="L244:L249" si="33">H244*J244</f>
        <v>0.47100000000000009</v>
      </c>
      <c r="M244" s="40">
        <v>1</v>
      </c>
      <c r="N244" s="57">
        <f t="shared" ref="N244:N249" si="34">L244+M244</f>
        <v>1.4710000000000001</v>
      </c>
    </row>
    <row r="245" spans="1:14" ht="18.75" customHeight="1">
      <c r="A245" s="40" t="s">
        <v>1005</v>
      </c>
      <c r="B245" s="40" t="s">
        <v>859</v>
      </c>
      <c r="C245" s="40"/>
      <c r="D245" s="55">
        <v>25</v>
      </c>
      <c r="E245" s="55">
        <v>543</v>
      </c>
      <c r="F245" s="56">
        <v>1275</v>
      </c>
      <c r="G245" s="55">
        <v>1</v>
      </c>
      <c r="H245" s="46">
        <f t="shared" si="32"/>
        <v>3.6360000000000001</v>
      </c>
      <c r="I245" s="40" t="s">
        <v>870</v>
      </c>
      <c r="J245" s="40">
        <f>VLOOKUP(D245,BM!$B$3:$Y$58,2,FALSE)</f>
        <v>0.1</v>
      </c>
      <c r="K245" s="40" t="s">
        <v>895</v>
      </c>
      <c r="L245" s="49">
        <f t="shared" si="33"/>
        <v>0.36360000000000003</v>
      </c>
      <c r="M245" s="40">
        <v>1</v>
      </c>
      <c r="N245" s="57">
        <f t="shared" si="34"/>
        <v>1.3635999999999999</v>
      </c>
    </row>
    <row r="246" spans="1:14" ht="18.75" customHeight="1">
      <c r="A246" s="40" t="s">
        <v>1005</v>
      </c>
      <c r="B246" s="40" t="s">
        <v>859</v>
      </c>
      <c r="C246" s="40"/>
      <c r="D246" s="55">
        <v>25</v>
      </c>
      <c r="E246" s="55">
        <v>522</v>
      </c>
      <c r="F246" s="56">
        <v>1275</v>
      </c>
      <c r="G246" s="55">
        <v>1</v>
      </c>
      <c r="H246" s="46">
        <f t="shared" si="32"/>
        <v>3.5940000000000003</v>
      </c>
      <c r="I246" s="40" t="s">
        <v>870</v>
      </c>
      <c r="J246" s="40">
        <f>VLOOKUP(D246,BM!$B$3:$Y$58,2,FALSE)</f>
        <v>0.1</v>
      </c>
      <c r="K246" s="40" t="s">
        <v>895</v>
      </c>
      <c r="L246" s="49">
        <f t="shared" si="33"/>
        <v>0.35940000000000005</v>
      </c>
      <c r="M246" s="40">
        <v>1</v>
      </c>
      <c r="N246" s="57">
        <f t="shared" si="34"/>
        <v>1.3593999999999999</v>
      </c>
    </row>
    <row r="247" spans="1:14" ht="18.75" customHeight="1">
      <c r="A247" s="40" t="s">
        <v>1006</v>
      </c>
      <c r="B247" s="40" t="s">
        <v>859</v>
      </c>
      <c r="C247" s="40"/>
      <c r="D247" s="55">
        <v>25</v>
      </c>
      <c r="E247" s="55"/>
      <c r="F247" s="56"/>
      <c r="G247" s="55"/>
      <c r="H247" s="59">
        <f>SUM(H243:H246)</f>
        <v>15.96</v>
      </c>
      <c r="I247" s="40" t="s">
        <v>870</v>
      </c>
      <c r="J247" s="40">
        <f>VLOOKUP(D247,BM!$B$3:$Y$58,3,FALSE)</f>
        <v>0.25</v>
      </c>
      <c r="K247" s="40" t="s">
        <v>895</v>
      </c>
      <c r="L247" s="49">
        <f t="shared" si="33"/>
        <v>3.99</v>
      </c>
      <c r="M247" s="40">
        <v>1</v>
      </c>
      <c r="N247" s="57">
        <f t="shared" si="34"/>
        <v>4.99</v>
      </c>
    </row>
    <row r="248" spans="1:14" ht="18.75" customHeight="1">
      <c r="A248" s="40" t="s">
        <v>1007</v>
      </c>
      <c r="B248" s="40" t="s">
        <v>859</v>
      </c>
      <c r="C248" s="40"/>
      <c r="D248" s="55">
        <v>25</v>
      </c>
      <c r="E248" s="55"/>
      <c r="F248" s="56"/>
      <c r="G248" s="55">
        <v>1</v>
      </c>
      <c r="H248" s="59">
        <f>H247</f>
        <v>15.96</v>
      </c>
      <c r="I248" s="40" t="s">
        <v>870</v>
      </c>
      <c r="J248" s="40">
        <f>VLOOKUP(D248,BM!$B$3:$Y$58,4,FALSE)</f>
        <v>0.15</v>
      </c>
      <c r="K248" s="40" t="s">
        <v>895</v>
      </c>
      <c r="L248" s="49">
        <f t="shared" si="33"/>
        <v>2.3940000000000001</v>
      </c>
      <c r="M248" s="40">
        <v>1</v>
      </c>
      <c r="N248" s="57">
        <f t="shared" si="34"/>
        <v>3.3940000000000001</v>
      </c>
    </row>
    <row r="249" spans="1:14" ht="18.75" customHeight="1">
      <c r="A249" s="40" t="s">
        <v>1008</v>
      </c>
      <c r="B249" s="40" t="s">
        <v>859</v>
      </c>
      <c r="C249" s="40" t="s">
        <v>581</v>
      </c>
      <c r="D249" s="55">
        <v>25</v>
      </c>
      <c r="E249" s="55"/>
      <c r="F249" s="56"/>
      <c r="G249" s="55"/>
      <c r="H249" s="46">
        <v>4</v>
      </c>
      <c r="I249" s="40" t="s">
        <v>81</v>
      </c>
      <c r="J249" s="40">
        <v>2</v>
      </c>
      <c r="K249" s="40" t="s">
        <v>39</v>
      </c>
      <c r="L249" s="49">
        <f t="shared" si="33"/>
        <v>8</v>
      </c>
      <c r="M249" s="40">
        <v>1</v>
      </c>
      <c r="N249" s="57">
        <f t="shared" si="34"/>
        <v>9</v>
      </c>
    </row>
    <row r="250" spans="1:14" ht="18.75" customHeight="1">
      <c r="A250" s="40" t="s">
        <v>1009</v>
      </c>
      <c r="B250" s="40" t="s">
        <v>859</v>
      </c>
      <c r="C250" s="40"/>
      <c r="D250" s="55">
        <v>16</v>
      </c>
      <c r="E250" s="55"/>
      <c r="F250" s="56">
        <v>1291</v>
      </c>
      <c r="G250" s="55">
        <v>8</v>
      </c>
      <c r="H250" s="46">
        <f>F250*G250*0.001</f>
        <v>10.327999999999999</v>
      </c>
      <c r="I250" s="40" t="s">
        <v>870</v>
      </c>
      <c r="J250" s="40">
        <f>VLOOKUP(D250,BM!$B$3:$Y$58,23,FALSE)</f>
        <v>5.6</v>
      </c>
      <c r="K250" s="40" t="s">
        <v>895</v>
      </c>
      <c r="L250" s="49">
        <f t="shared" ref="L250:L253" si="35">H250*J250</f>
        <v>57.83679999999999</v>
      </c>
      <c r="M250" s="40">
        <v>1</v>
      </c>
      <c r="N250" s="57">
        <f t="shared" ref="N250:N253" si="36">L250+M250</f>
        <v>58.83679999999999</v>
      </c>
    </row>
    <row r="251" spans="1:14" ht="18.75" customHeight="1">
      <c r="A251" s="40" t="s">
        <v>931</v>
      </c>
      <c r="B251" s="40"/>
      <c r="C251" s="41" t="s">
        <v>581</v>
      </c>
      <c r="D251" s="50"/>
      <c r="E251" s="50"/>
      <c r="F251" s="50"/>
      <c r="G251" s="50"/>
      <c r="H251" s="45">
        <v>1</v>
      </c>
      <c r="I251" s="45" t="s">
        <v>81</v>
      </c>
      <c r="J251" s="49">
        <v>6</v>
      </c>
      <c r="K251" s="40" t="s">
        <v>87</v>
      </c>
      <c r="L251" s="46">
        <f t="shared" si="35"/>
        <v>6</v>
      </c>
      <c r="M251" s="46">
        <v>1</v>
      </c>
      <c r="N251" s="46">
        <f t="shared" si="36"/>
        <v>7</v>
      </c>
    </row>
    <row r="252" spans="1:14" ht="18.75" customHeight="1">
      <c r="A252" s="40" t="s">
        <v>932</v>
      </c>
      <c r="B252" s="40"/>
      <c r="C252" s="41" t="s">
        <v>581</v>
      </c>
      <c r="D252" s="50">
        <v>12</v>
      </c>
      <c r="E252" s="50"/>
      <c r="F252" s="50"/>
      <c r="G252" s="50"/>
      <c r="H252" s="45">
        <v>1</v>
      </c>
      <c r="I252" s="45" t="s">
        <v>81</v>
      </c>
      <c r="J252" s="49">
        <v>4</v>
      </c>
      <c r="K252" s="40" t="s">
        <v>87</v>
      </c>
      <c r="L252" s="46">
        <f t="shared" si="35"/>
        <v>4</v>
      </c>
      <c r="M252" s="46">
        <v>1</v>
      </c>
      <c r="N252" s="46">
        <f t="shared" si="36"/>
        <v>5</v>
      </c>
    </row>
    <row r="253" spans="1:14" ht="18.75" customHeight="1">
      <c r="A253" s="40" t="s">
        <v>1010</v>
      </c>
      <c r="B253" s="40"/>
      <c r="C253" s="41" t="s">
        <v>581</v>
      </c>
      <c r="D253" s="50"/>
      <c r="E253" s="50"/>
      <c r="F253" s="50"/>
      <c r="G253" s="50"/>
      <c r="H253" s="45">
        <v>1</v>
      </c>
      <c r="I253" s="45" t="s">
        <v>81</v>
      </c>
      <c r="J253" s="49">
        <v>12</v>
      </c>
      <c r="K253" s="40" t="s">
        <v>87</v>
      </c>
      <c r="L253" s="46">
        <f t="shared" si="35"/>
        <v>12</v>
      </c>
      <c r="M253" s="46">
        <v>1</v>
      </c>
      <c r="N253" s="46">
        <f t="shared" si="36"/>
        <v>13</v>
      </c>
    </row>
    <row r="254" spans="1:14" ht="18.75" customHeight="1">
      <c r="A254" s="34"/>
      <c r="B254" s="34"/>
      <c r="C254" s="34"/>
    </row>
    <row r="255" spans="1:14" ht="18.75" customHeight="1">
      <c r="A255" s="37" t="s">
        <v>850</v>
      </c>
      <c r="B255" s="38" t="s">
        <v>851</v>
      </c>
      <c r="C255" s="38"/>
      <c r="D255" s="39" t="s">
        <v>2</v>
      </c>
      <c r="E255" s="39" t="s">
        <v>892</v>
      </c>
      <c r="F255" s="39" t="s">
        <v>893</v>
      </c>
      <c r="G255" s="39" t="s">
        <v>4</v>
      </c>
      <c r="H255" s="39" t="s">
        <v>854</v>
      </c>
      <c r="I255" s="39" t="s">
        <v>5</v>
      </c>
      <c r="J255" s="39" t="s">
        <v>855</v>
      </c>
      <c r="K255" s="39" t="s">
        <v>5</v>
      </c>
      <c r="L255" s="39" t="s">
        <v>854</v>
      </c>
      <c r="M255" s="39" t="s">
        <v>856</v>
      </c>
      <c r="N255" s="39" t="s">
        <v>857</v>
      </c>
    </row>
    <row r="256" spans="1:14" ht="18.75" customHeight="1">
      <c r="A256" s="40" t="s">
        <v>1011</v>
      </c>
      <c r="B256" s="40" t="s">
        <v>859</v>
      </c>
      <c r="C256" s="40"/>
      <c r="D256" s="40">
        <v>35</v>
      </c>
      <c r="E256" s="55">
        <v>1445</v>
      </c>
      <c r="F256" s="45"/>
      <c r="G256" s="40">
        <v>1</v>
      </c>
      <c r="H256" s="59">
        <f>E256*1.18/1000*G256</f>
        <v>1.7050999999999998</v>
      </c>
      <c r="I256" s="40" t="s">
        <v>870</v>
      </c>
      <c r="J256" s="40">
        <f>VLOOKUP(D256,BM!$B$3:$Y$58,2,FALSE)</f>
        <v>0.1</v>
      </c>
      <c r="K256" s="40"/>
      <c r="L256" s="59">
        <f t="shared" si="30"/>
        <v>0.17050999999999999</v>
      </c>
      <c r="M256" s="40">
        <v>1</v>
      </c>
      <c r="N256" s="60">
        <f t="shared" si="31"/>
        <v>1.1705099999999999</v>
      </c>
    </row>
    <row r="257" spans="1:14" ht="18.75" customHeight="1">
      <c r="A257" s="40" t="s">
        <v>1012</v>
      </c>
      <c r="B257" s="40" t="s">
        <v>859</v>
      </c>
      <c r="C257" s="40"/>
      <c r="D257" s="40">
        <v>30</v>
      </c>
      <c r="E257" s="55">
        <v>1445</v>
      </c>
      <c r="F257" s="45"/>
      <c r="G257" s="40">
        <v>1</v>
      </c>
      <c r="H257" s="59">
        <f t="shared" ref="H257:H260" si="37">E257*1.18/1000*G257</f>
        <v>1.7050999999999998</v>
      </c>
      <c r="I257" s="40" t="s">
        <v>870</v>
      </c>
      <c r="J257" s="40">
        <f>VLOOKUP(D257,BM!$B$3:$Y$58,3,FALSE)</f>
        <v>0.25</v>
      </c>
      <c r="K257" s="40"/>
      <c r="L257" s="59">
        <f t="shared" si="30"/>
        <v>0.42627499999999996</v>
      </c>
      <c r="M257" s="40">
        <v>1</v>
      </c>
      <c r="N257" s="60">
        <f t="shared" si="31"/>
        <v>1.426275</v>
      </c>
    </row>
    <row r="258" spans="1:14" ht="18.75" customHeight="1">
      <c r="A258" s="40" t="s">
        <v>1013</v>
      </c>
      <c r="B258" s="40" t="s">
        <v>859</v>
      </c>
      <c r="C258" s="40"/>
      <c r="D258" s="40">
        <v>30</v>
      </c>
      <c r="E258" s="55">
        <v>1445</v>
      </c>
      <c r="F258" s="45"/>
      <c r="G258" s="40">
        <v>1</v>
      </c>
      <c r="H258" s="59">
        <f t="shared" si="37"/>
        <v>1.7050999999999998</v>
      </c>
      <c r="I258" s="40" t="s">
        <v>870</v>
      </c>
      <c r="J258" s="40">
        <f>VLOOKUP(D258,BM!$B$3:$Y$58,4,FALSE)</f>
        <v>0.15</v>
      </c>
      <c r="K258" s="40"/>
      <c r="L258" s="59">
        <f t="shared" si="30"/>
        <v>0.25576499999999996</v>
      </c>
      <c r="M258" s="40">
        <v>1</v>
      </c>
      <c r="N258" s="60">
        <f t="shared" si="31"/>
        <v>1.255765</v>
      </c>
    </row>
    <row r="259" spans="1:14" ht="18.75" customHeight="1">
      <c r="A259" s="40" t="s">
        <v>1014</v>
      </c>
      <c r="B259" s="40" t="s">
        <v>859</v>
      </c>
      <c r="C259" s="40" t="s">
        <v>581</v>
      </c>
      <c r="D259" s="40">
        <v>30</v>
      </c>
      <c r="E259" s="55">
        <v>1445</v>
      </c>
      <c r="F259" s="45"/>
      <c r="G259" s="40">
        <v>1</v>
      </c>
      <c r="H259" s="59">
        <f t="shared" si="37"/>
        <v>1.7050999999999998</v>
      </c>
      <c r="I259" s="40" t="s">
        <v>564</v>
      </c>
      <c r="J259" s="40">
        <v>10</v>
      </c>
      <c r="K259" s="40" t="s">
        <v>1015</v>
      </c>
      <c r="L259" s="59"/>
      <c r="M259" s="40"/>
      <c r="N259" s="60" t="s">
        <v>1016</v>
      </c>
    </row>
    <row r="260" spans="1:14" ht="18.75" customHeight="1">
      <c r="A260" s="40" t="s">
        <v>1017</v>
      </c>
      <c r="B260" s="40" t="s">
        <v>859</v>
      </c>
      <c r="C260" s="40"/>
      <c r="D260" s="40">
        <v>30</v>
      </c>
      <c r="E260" s="55">
        <v>1445</v>
      </c>
      <c r="F260" s="45"/>
      <c r="G260" s="40">
        <v>1</v>
      </c>
      <c r="H260" s="59">
        <f t="shared" si="37"/>
        <v>1.7050999999999998</v>
      </c>
      <c r="I260" s="40" t="s">
        <v>870</v>
      </c>
      <c r="J260" s="40">
        <f>VLOOKUP(D260,BM!$B$3:$Y$58,2,FALSE)</f>
        <v>0.1</v>
      </c>
      <c r="K260" s="40"/>
      <c r="L260" s="59">
        <f t="shared" ref="L260:L269" si="38">H260*J260</f>
        <v>0.17050999999999999</v>
      </c>
      <c r="M260" s="40">
        <v>1</v>
      </c>
      <c r="N260" s="60">
        <f t="shared" ref="N260:N269" si="39">L260+M260</f>
        <v>1.1705099999999999</v>
      </c>
    </row>
    <row r="261" spans="1:14" ht="18.75" customHeight="1">
      <c r="A261" s="40" t="s">
        <v>1012</v>
      </c>
      <c r="B261" s="40" t="s">
        <v>859</v>
      </c>
      <c r="C261" s="40"/>
      <c r="D261" s="40">
        <v>30</v>
      </c>
      <c r="E261" s="55">
        <v>1445</v>
      </c>
      <c r="F261" s="45"/>
      <c r="G261" s="40">
        <v>1</v>
      </c>
      <c r="H261" s="59">
        <f>E261*3.142*G261*0.001</f>
        <v>4.5401899999999999</v>
      </c>
      <c r="I261" s="40" t="s">
        <v>870</v>
      </c>
      <c r="J261" s="40">
        <f>VLOOKUP(D261,BM!$B$3:$Y$58,3,FALSE)</f>
        <v>0.25</v>
      </c>
      <c r="K261" s="40"/>
      <c r="L261" s="59">
        <f t="shared" si="38"/>
        <v>1.1350475</v>
      </c>
      <c r="M261" s="40">
        <v>1</v>
      </c>
      <c r="N261" s="60">
        <f t="shared" si="39"/>
        <v>2.1350474999999998</v>
      </c>
    </row>
    <row r="262" spans="1:14" ht="18.75" customHeight="1">
      <c r="A262" s="40" t="s">
        <v>1018</v>
      </c>
      <c r="B262" s="40" t="s">
        <v>859</v>
      </c>
      <c r="C262" s="40"/>
      <c r="D262" s="40">
        <v>30</v>
      </c>
      <c r="E262" s="55">
        <v>1445</v>
      </c>
      <c r="F262" s="45" t="s">
        <v>1019</v>
      </c>
      <c r="G262" s="40">
        <v>2</v>
      </c>
      <c r="H262" s="59">
        <f>E262*3.142*G262*0.001</f>
        <v>9.0803799999999999</v>
      </c>
      <c r="I262" s="40" t="s">
        <v>870</v>
      </c>
      <c r="J262" s="40">
        <f>VLOOKUP(D262,BM!$B$3:$Y$58,5,FALSE)</f>
        <v>0.5</v>
      </c>
      <c r="K262" s="40"/>
      <c r="L262" s="59">
        <f t="shared" si="38"/>
        <v>4.5401899999999999</v>
      </c>
      <c r="M262" s="40">
        <v>1</v>
      </c>
      <c r="N262" s="60">
        <f t="shared" si="39"/>
        <v>5.5401899999999999</v>
      </c>
    </row>
    <row r="263" spans="1:14" ht="18.75" customHeight="1">
      <c r="A263" s="40" t="s">
        <v>1020</v>
      </c>
      <c r="B263" s="40" t="s">
        <v>859</v>
      </c>
      <c r="C263" s="40"/>
      <c r="D263" s="40">
        <v>30</v>
      </c>
      <c r="E263" s="55">
        <f>1450</f>
        <v>1450</v>
      </c>
      <c r="F263" s="45"/>
      <c r="G263" s="40">
        <v>2</v>
      </c>
      <c r="H263" s="59">
        <f t="shared" ref="H263:H265" si="40">E263*3.142*G263*0.001</f>
        <v>9.1117999999999988</v>
      </c>
      <c r="I263" s="40" t="s">
        <v>870</v>
      </c>
      <c r="J263" s="40">
        <f>VLOOKUP(D263,BM!$B$3:$Y$58,6,FALSE)</f>
        <v>1</v>
      </c>
      <c r="K263" s="40"/>
      <c r="L263" s="59">
        <f t="shared" si="38"/>
        <v>9.1117999999999988</v>
      </c>
      <c r="M263" s="40">
        <v>1</v>
      </c>
      <c r="N263" s="60">
        <f t="shared" si="39"/>
        <v>10.111799999999999</v>
      </c>
    </row>
    <row r="264" spans="1:14" ht="18.75" customHeight="1">
      <c r="A264" s="40" t="s">
        <v>1021</v>
      </c>
      <c r="B264" s="40" t="s">
        <v>859</v>
      </c>
      <c r="C264" s="40"/>
      <c r="D264" s="40">
        <v>30</v>
      </c>
      <c r="E264" s="55">
        <f>1450</f>
        <v>1450</v>
      </c>
      <c r="F264" s="45" t="s">
        <v>1019</v>
      </c>
      <c r="G264" s="40">
        <v>1</v>
      </c>
      <c r="H264" s="59">
        <f t="shared" si="40"/>
        <v>4.5558999999999994</v>
      </c>
      <c r="I264" s="40" t="s">
        <v>870</v>
      </c>
      <c r="J264" s="40">
        <f>VLOOKUP(D264,BM!$B$3:$Y$58,16,FALSE)</f>
        <v>1</v>
      </c>
      <c r="K264" s="40"/>
      <c r="L264" s="59">
        <f t="shared" si="38"/>
        <v>4.5558999999999994</v>
      </c>
      <c r="M264" s="40">
        <v>1</v>
      </c>
      <c r="N264" s="60">
        <f t="shared" si="39"/>
        <v>5.5558999999999994</v>
      </c>
    </row>
    <row r="265" spans="1:14" ht="18.75" customHeight="1">
      <c r="A265" s="40" t="s">
        <v>1022</v>
      </c>
      <c r="B265" s="40" t="s">
        <v>859</v>
      </c>
      <c r="C265" s="40"/>
      <c r="D265" s="40">
        <v>16</v>
      </c>
      <c r="E265" s="55">
        <f>1450</f>
        <v>1450</v>
      </c>
      <c r="F265" s="45"/>
      <c r="G265" s="40">
        <v>1</v>
      </c>
      <c r="H265" s="59">
        <f t="shared" si="40"/>
        <v>4.5558999999999994</v>
      </c>
      <c r="I265" s="40" t="s">
        <v>870</v>
      </c>
      <c r="J265" s="40">
        <f>VLOOKUP(D265,BM!$B$3:$Y$58,23,FALSE)</f>
        <v>5.6</v>
      </c>
      <c r="K265" s="40"/>
      <c r="L265" s="59">
        <f t="shared" si="38"/>
        <v>25.513039999999997</v>
      </c>
      <c r="M265" s="40">
        <v>1</v>
      </c>
      <c r="N265" s="60">
        <f t="shared" si="39"/>
        <v>26.513039999999997</v>
      </c>
    </row>
    <row r="266" spans="1:14" ht="18.75" customHeight="1">
      <c r="A266" s="40" t="s">
        <v>1023</v>
      </c>
      <c r="B266" s="40" t="s">
        <v>859</v>
      </c>
      <c r="C266" s="40"/>
      <c r="D266" s="55">
        <v>25</v>
      </c>
      <c r="E266" s="55">
        <v>300</v>
      </c>
      <c r="F266" s="56">
        <v>1450</v>
      </c>
      <c r="G266" s="55">
        <v>1</v>
      </c>
      <c r="H266" s="46">
        <f>(E266*2*0.001+F266*2*0.001)*G266</f>
        <v>3.5</v>
      </c>
      <c r="I266" s="40" t="s">
        <v>870</v>
      </c>
      <c r="J266" s="40">
        <f>VLOOKUP(D266,BM!$B$3:$Y$58,2,FALSE)</f>
        <v>0.1</v>
      </c>
      <c r="K266" s="40" t="s">
        <v>895</v>
      </c>
      <c r="L266" s="49">
        <f t="shared" si="38"/>
        <v>0.35000000000000003</v>
      </c>
      <c r="M266" s="40">
        <v>1</v>
      </c>
      <c r="N266" s="57">
        <f t="shared" si="39"/>
        <v>1.35</v>
      </c>
    </row>
    <row r="267" spans="1:14" ht="18.75" customHeight="1">
      <c r="A267" s="40" t="s">
        <v>1024</v>
      </c>
      <c r="B267" s="40" t="s">
        <v>859</v>
      </c>
      <c r="C267" s="40"/>
      <c r="D267" s="55">
        <v>25</v>
      </c>
      <c r="E267" s="55">
        <v>300</v>
      </c>
      <c r="F267" s="56">
        <v>1450</v>
      </c>
      <c r="G267" s="55">
        <v>1</v>
      </c>
      <c r="H267" s="46">
        <f>(E267*2*0.001+F267*2*0.001)*G267</f>
        <v>3.5</v>
      </c>
      <c r="I267" s="40" t="s">
        <v>870</v>
      </c>
      <c r="J267" s="40">
        <f>VLOOKUP(D267,BM!$B$3:$Y$58,3,FALSE)</f>
        <v>0.25</v>
      </c>
      <c r="K267" s="40" t="s">
        <v>895</v>
      </c>
      <c r="L267" s="49">
        <f t="shared" si="38"/>
        <v>0.875</v>
      </c>
      <c r="M267" s="40">
        <v>1</v>
      </c>
      <c r="N267" s="57">
        <f t="shared" si="39"/>
        <v>1.875</v>
      </c>
    </row>
    <row r="268" spans="1:14" ht="18.75" customHeight="1">
      <c r="A268" s="40" t="s">
        <v>1025</v>
      </c>
      <c r="B268" s="40" t="s">
        <v>859</v>
      </c>
      <c r="C268" s="40"/>
      <c r="D268" s="55">
        <v>25</v>
      </c>
      <c r="E268" s="55">
        <v>300</v>
      </c>
      <c r="F268" s="56">
        <v>1450</v>
      </c>
      <c r="G268" s="55">
        <v>1</v>
      </c>
      <c r="H268" s="59">
        <f>H267</f>
        <v>3.5</v>
      </c>
      <c r="I268" s="40" t="s">
        <v>870</v>
      </c>
      <c r="J268" s="40">
        <f>VLOOKUP(D268,BM!$B$3:$Y$58,4,FALSE)</f>
        <v>0.15</v>
      </c>
      <c r="K268" s="40" t="s">
        <v>895</v>
      </c>
      <c r="L268" s="49">
        <f t="shared" si="38"/>
        <v>0.52500000000000002</v>
      </c>
      <c r="M268" s="40">
        <v>1</v>
      </c>
      <c r="N268" s="57">
        <f t="shared" si="39"/>
        <v>1.5249999999999999</v>
      </c>
    </row>
    <row r="269" spans="1:14" ht="18.75" customHeight="1">
      <c r="A269" s="40" t="s">
        <v>1026</v>
      </c>
      <c r="B269" s="40" t="s">
        <v>859</v>
      </c>
      <c r="C269" s="40" t="s">
        <v>581</v>
      </c>
      <c r="D269" s="55">
        <v>25</v>
      </c>
      <c r="E269" s="55"/>
      <c r="F269" s="56"/>
      <c r="G269" s="55"/>
      <c r="H269" s="46">
        <v>1</v>
      </c>
      <c r="I269" s="40" t="s">
        <v>81</v>
      </c>
      <c r="J269" s="40">
        <v>4</v>
      </c>
      <c r="K269" s="40" t="s">
        <v>39</v>
      </c>
      <c r="L269" s="49">
        <f t="shared" si="38"/>
        <v>4</v>
      </c>
      <c r="M269" s="40">
        <v>1</v>
      </c>
      <c r="N269" s="57">
        <f t="shared" si="39"/>
        <v>5</v>
      </c>
    </row>
    <row r="270" spans="1:14" ht="18.75" customHeight="1">
      <c r="A270" s="40" t="s">
        <v>1027</v>
      </c>
      <c r="B270" s="40" t="s">
        <v>859</v>
      </c>
      <c r="C270" s="40"/>
      <c r="D270" s="55">
        <v>18</v>
      </c>
      <c r="E270" s="55"/>
      <c r="F270" s="56">
        <v>1450</v>
      </c>
      <c r="G270" s="55">
        <v>2</v>
      </c>
      <c r="H270" s="46">
        <f>F270*G270*0.001</f>
        <v>2.9</v>
      </c>
      <c r="I270" s="40" t="s">
        <v>870</v>
      </c>
      <c r="J270" s="40">
        <f>VLOOKUP(D270,BM!$B$3:$Y$58,22,FALSE)</f>
        <v>3.4</v>
      </c>
      <c r="K270" s="40" t="s">
        <v>895</v>
      </c>
      <c r="L270" s="49">
        <f t="shared" ref="L270" si="41">H270*J270</f>
        <v>9.86</v>
      </c>
      <c r="M270" s="40">
        <v>1</v>
      </c>
      <c r="N270" s="57">
        <f t="shared" ref="N270" si="42">L270+M270</f>
        <v>10.86</v>
      </c>
    </row>
    <row r="271" spans="1:14" ht="18.75" customHeight="1">
      <c r="A271" s="40" t="s">
        <v>1028</v>
      </c>
      <c r="B271" s="40"/>
      <c r="C271" s="40"/>
      <c r="D271" s="55"/>
      <c r="E271" s="55"/>
      <c r="F271" s="56"/>
      <c r="G271" s="55"/>
      <c r="H271" s="46"/>
      <c r="I271" s="40"/>
      <c r="J271" s="40"/>
      <c r="K271" s="40"/>
      <c r="L271" s="49"/>
      <c r="M271" s="40"/>
      <c r="N271" s="57">
        <v>12</v>
      </c>
    </row>
    <row r="272" spans="1:14" ht="18.75" customHeight="1">
      <c r="H272" s="47"/>
      <c r="I272" s="47"/>
      <c r="J272" s="48"/>
      <c r="K272" s="48"/>
      <c r="L272" s="48"/>
      <c r="M272" s="48"/>
      <c r="N272" s="48"/>
    </row>
    <row r="273" spans="1:14" ht="18.75" customHeight="1">
      <c r="A273" s="37" t="s">
        <v>850</v>
      </c>
      <c r="B273" s="38" t="s">
        <v>851</v>
      </c>
      <c r="C273" s="38"/>
      <c r="D273" s="39" t="s">
        <v>2</v>
      </c>
      <c r="E273" s="39" t="s">
        <v>892</v>
      </c>
      <c r="F273" s="39" t="s">
        <v>893</v>
      </c>
      <c r="G273" s="39" t="s">
        <v>4</v>
      </c>
      <c r="H273" s="39" t="s">
        <v>854</v>
      </c>
      <c r="I273" s="39" t="s">
        <v>5</v>
      </c>
      <c r="J273" s="39" t="s">
        <v>855</v>
      </c>
      <c r="K273" s="39" t="s">
        <v>5</v>
      </c>
      <c r="L273" s="39" t="s">
        <v>854</v>
      </c>
      <c r="M273" s="39" t="s">
        <v>856</v>
      </c>
      <c r="N273" s="39" t="s">
        <v>857</v>
      </c>
    </row>
    <row r="274" spans="1:14" ht="18.75" customHeight="1">
      <c r="A274" s="40" t="s">
        <v>1029</v>
      </c>
      <c r="B274" s="40" t="s">
        <v>859</v>
      </c>
      <c r="C274" s="40"/>
      <c r="D274" s="40"/>
      <c r="E274" s="40"/>
      <c r="F274" s="45"/>
      <c r="G274" s="40"/>
      <c r="H274" s="46"/>
      <c r="I274" s="40"/>
      <c r="J274" s="40"/>
      <c r="K274" s="40"/>
      <c r="L274" s="49"/>
      <c r="M274" s="40"/>
      <c r="N274" s="57"/>
    </row>
    <row r="275" spans="1:14" ht="18.75" customHeight="1">
      <c r="A275" s="40" t="s">
        <v>1030</v>
      </c>
      <c r="B275" s="40" t="s">
        <v>859</v>
      </c>
      <c r="C275" s="40"/>
      <c r="D275" s="40">
        <v>20</v>
      </c>
      <c r="E275" s="40">
        <v>70</v>
      </c>
      <c r="F275" s="45">
        <v>8571</v>
      </c>
      <c r="G275" s="40">
        <v>2</v>
      </c>
      <c r="H275" s="46">
        <f t="shared" ref="H275:H281" si="43">(E275*2*0.001+F275*2*0.001)*G275</f>
        <v>34.564</v>
      </c>
      <c r="I275" s="40"/>
      <c r="J275" s="40">
        <f>VLOOKUP(D275,BM!$B$3:$Y$58,2,FALSE)</f>
        <v>0.1</v>
      </c>
      <c r="K275" s="40"/>
      <c r="L275" s="49">
        <f t="shared" si="30"/>
        <v>3.4564000000000004</v>
      </c>
      <c r="M275" s="40">
        <v>1</v>
      </c>
      <c r="N275" s="57">
        <f t="shared" si="31"/>
        <v>4.4564000000000004</v>
      </c>
    </row>
    <row r="276" spans="1:14" ht="18.75" customHeight="1">
      <c r="A276" s="40" t="s">
        <v>1031</v>
      </c>
      <c r="B276" s="40" t="s">
        <v>859</v>
      </c>
      <c r="C276" s="40"/>
      <c r="D276" s="40"/>
      <c r="E276" s="40"/>
      <c r="F276" s="45"/>
      <c r="G276" s="40"/>
      <c r="H276" s="46"/>
      <c r="I276" s="40"/>
      <c r="J276" s="40"/>
      <c r="K276" s="40"/>
      <c r="L276" s="49"/>
      <c r="M276" s="40"/>
      <c r="N276" s="57"/>
    </row>
    <row r="277" spans="1:14" ht="18.75" customHeight="1">
      <c r="A277" s="40" t="s">
        <v>1032</v>
      </c>
      <c r="B277" s="40"/>
      <c r="C277" s="40"/>
      <c r="D277" s="40"/>
      <c r="E277" s="40" t="s">
        <v>1033</v>
      </c>
      <c r="F277" s="45" t="s">
        <v>1034</v>
      </c>
      <c r="G277" s="40">
        <v>43</v>
      </c>
      <c r="H277" s="46">
        <f>G277</f>
        <v>43</v>
      </c>
      <c r="I277" s="40" t="s">
        <v>39</v>
      </c>
      <c r="J277" s="57">
        <f>1/60*5</f>
        <v>8.3333333333333329E-2</v>
      </c>
      <c r="K277" s="40" t="s">
        <v>1035</v>
      </c>
      <c r="L277" s="49">
        <f t="shared" si="30"/>
        <v>3.583333333333333</v>
      </c>
      <c r="M277" s="40"/>
      <c r="N277" s="57"/>
    </row>
    <row r="278" spans="1:14" ht="18.75" customHeight="1">
      <c r="A278" s="40" t="s">
        <v>1036</v>
      </c>
      <c r="B278" s="40"/>
      <c r="C278" s="40"/>
      <c r="D278" s="40"/>
      <c r="E278" s="40" t="s">
        <v>1033</v>
      </c>
      <c r="F278" s="45" t="s">
        <v>1037</v>
      </c>
      <c r="G278" s="40">
        <v>7</v>
      </c>
      <c r="H278" s="46">
        <f>G278</f>
        <v>7</v>
      </c>
      <c r="I278" s="40" t="s">
        <v>39</v>
      </c>
      <c r="J278" s="57">
        <f>1/60*5</f>
        <v>8.3333333333333329E-2</v>
      </c>
      <c r="K278" s="40" t="s">
        <v>1035</v>
      </c>
      <c r="L278" s="49">
        <f t="shared" si="30"/>
        <v>0.58333333333333326</v>
      </c>
      <c r="M278" s="40"/>
      <c r="N278" s="57"/>
    </row>
    <row r="279" spans="1:14" ht="18.75" customHeight="1">
      <c r="A279" s="40" t="s">
        <v>1038</v>
      </c>
      <c r="B279" s="40"/>
      <c r="C279" s="40"/>
      <c r="D279" s="40"/>
      <c r="E279" s="40" t="s">
        <v>1039</v>
      </c>
      <c r="F279" s="45" t="s">
        <v>1040</v>
      </c>
      <c r="G279" s="40">
        <v>14</v>
      </c>
      <c r="H279" s="46">
        <f>G279</f>
        <v>14</v>
      </c>
      <c r="I279" s="40" t="s">
        <v>39</v>
      </c>
      <c r="J279" s="57">
        <f>1/60*5</f>
        <v>8.3333333333333329E-2</v>
      </c>
      <c r="K279" s="40" t="s">
        <v>1035</v>
      </c>
      <c r="L279" s="49">
        <f t="shared" si="30"/>
        <v>1.1666666666666665</v>
      </c>
      <c r="M279" s="40"/>
      <c r="N279" s="57"/>
    </row>
    <row r="280" spans="1:14" ht="18.75" customHeight="1">
      <c r="A280" s="40" t="s">
        <v>1041</v>
      </c>
      <c r="B280" s="40"/>
      <c r="C280" s="40"/>
      <c r="D280" s="40"/>
      <c r="E280" s="40" t="s">
        <v>1042</v>
      </c>
      <c r="F280" s="45"/>
      <c r="G280" s="40">
        <f>838/2</f>
        <v>419</v>
      </c>
      <c r="H280" s="46">
        <f>G280</f>
        <v>419</v>
      </c>
      <c r="I280" s="40" t="s">
        <v>39</v>
      </c>
      <c r="J280" s="57">
        <f>1/60*5</f>
        <v>8.3333333333333329E-2</v>
      </c>
      <c r="K280" s="40" t="s">
        <v>1035</v>
      </c>
      <c r="L280" s="49">
        <f t="shared" si="30"/>
        <v>34.916666666666664</v>
      </c>
      <c r="M280" s="40"/>
      <c r="N280" s="57"/>
    </row>
    <row r="281" spans="1:14" ht="18.75" customHeight="1">
      <c r="A281" s="40" t="s">
        <v>1043</v>
      </c>
      <c r="B281" s="40" t="s">
        <v>859</v>
      </c>
      <c r="C281" s="40"/>
      <c r="D281" s="40">
        <v>24</v>
      </c>
      <c r="E281" s="40">
        <v>100</v>
      </c>
      <c r="F281" s="45">
        <v>500</v>
      </c>
      <c r="G281" s="40">
        <v>2</v>
      </c>
      <c r="H281" s="46">
        <f t="shared" si="43"/>
        <v>2.4</v>
      </c>
      <c r="I281" s="40"/>
      <c r="J281" s="40">
        <f>VLOOKUP(D281,BM!$B$3:$Y$58,2,FALSE)</f>
        <v>0.1</v>
      </c>
      <c r="K281" s="40"/>
      <c r="L281" s="49">
        <f t="shared" si="30"/>
        <v>0.24</v>
      </c>
      <c r="M281" s="40">
        <v>1</v>
      </c>
      <c r="N281" s="57">
        <f t="shared" si="31"/>
        <v>1.24</v>
      </c>
    </row>
    <row r="282" spans="1:14" ht="18.75" customHeight="1">
      <c r="A282" s="34"/>
      <c r="B282" s="34"/>
      <c r="C282" s="34"/>
    </row>
    <row r="283" spans="1:14" ht="18.75" customHeight="1">
      <c r="A283" s="37" t="s">
        <v>850</v>
      </c>
      <c r="B283" s="38" t="s">
        <v>851</v>
      </c>
      <c r="C283" s="38"/>
      <c r="D283" s="39" t="s">
        <v>2</v>
      </c>
      <c r="E283" s="39" t="s">
        <v>892</v>
      </c>
      <c r="F283" s="39" t="s">
        <v>893</v>
      </c>
      <c r="G283" s="39" t="s">
        <v>4</v>
      </c>
      <c r="H283" s="39" t="s">
        <v>854</v>
      </c>
      <c r="I283" s="39" t="s">
        <v>5</v>
      </c>
      <c r="J283" s="39" t="s">
        <v>855</v>
      </c>
      <c r="K283" s="39" t="s">
        <v>5</v>
      </c>
      <c r="L283" s="39" t="s">
        <v>854</v>
      </c>
      <c r="M283" s="39" t="s">
        <v>856</v>
      </c>
      <c r="N283" s="39" t="s">
        <v>857</v>
      </c>
    </row>
    <row r="284" spans="1:14" ht="18.75" customHeight="1">
      <c r="A284" s="40" t="s">
        <v>1044</v>
      </c>
      <c r="B284" s="40" t="s">
        <v>859</v>
      </c>
      <c r="C284" s="40"/>
      <c r="D284" s="40"/>
      <c r="E284" s="40"/>
      <c r="F284" s="45"/>
      <c r="G284" s="40"/>
      <c r="H284" s="46"/>
      <c r="I284" s="40"/>
      <c r="J284" s="40"/>
      <c r="K284" s="40"/>
      <c r="L284" s="49"/>
      <c r="M284" s="40"/>
      <c r="N284" s="57"/>
    </row>
    <row r="285" spans="1:14" ht="18.75" customHeight="1">
      <c r="A285" s="40" t="s">
        <v>1045</v>
      </c>
      <c r="B285" s="40" t="s">
        <v>859</v>
      </c>
      <c r="C285" s="40"/>
      <c r="D285" s="40">
        <v>20</v>
      </c>
      <c r="E285" s="40">
        <v>70</v>
      </c>
      <c r="F285" s="45">
        <v>8571</v>
      </c>
      <c r="G285" s="40">
        <v>2</v>
      </c>
      <c r="H285" s="46">
        <f t="shared" ref="H285" si="44">(E285*2*0.001+F285*2*0.001)*G285</f>
        <v>34.564</v>
      </c>
      <c r="I285" s="40"/>
      <c r="J285" s="40">
        <f>VLOOKUP(D285,BM!$B$3:$Y$58,3,FALSE)</f>
        <v>0.25</v>
      </c>
      <c r="K285" s="40"/>
      <c r="L285" s="49">
        <f t="shared" ref="L285" si="45">H285*J285</f>
        <v>8.641</v>
      </c>
      <c r="M285" s="40">
        <v>1</v>
      </c>
      <c r="N285" s="57">
        <f t="shared" ref="N285:N291" si="46">L285+M285</f>
        <v>9.641</v>
      </c>
    </row>
    <row r="286" spans="1:14" ht="18.75" customHeight="1">
      <c r="A286" s="40" t="s">
        <v>1046</v>
      </c>
      <c r="B286" s="40" t="s">
        <v>859</v>
      </c>
      <c r="C286" s="40"/>
      <c r="D286" s="40"/>
      <c r="E286" s="40"/>
      <c r="F286" s="45"/>
      <c r="G286" s="40"/>
      <c r="H286" s="46"/>
      <c r="I286" s="40"/>
      <c r="J286" s="40"/>
      <c r="K286" s="40"/>
      <c r="L286" s="49"/>
      <c r="M286" s="40"/>
      <c r="N286" s="57"/>
    </row>
    <row r="287" spans="1:14" ht="18.75" customHeight="1">
      <c r="A287" s="40" t="s">
        <v>1047</v>
      </c>
      <c r="B287" s="40"/>
      <c r="C287" s="40"/>
      <c r="D287" s="40"/>
      <c r="E287" s="40" t="s">
        <v>1033</v>
      </c>
      <c r="F287" s="45" t="s">
        <v>1034</v>
      </c>
      <c r="G287" s="40">
        <v>43</v>
      </c>
      <c r="H287" s="46">
        <f>G287</f>
        <v>43</v>
      </c>
      <c r="I287" s="40" t="s">
        <v>39</v>
      </c>
      <c r="J287" s="57">
        <f>1/60*10</f>
        <v>0.16666666666666666</v>
      </c>
      <c r="K287" s="40" t="s">
        <v>1035</v>
      </c>
      <c r="L287" s="49">
        <f t="shared" ref="L287:L291" si="47">H287*J287</f>
        <v>7.1666666666666661</v>
      </c>
      <c r="M287" s="40"/>
      <c r="N287" s="57">
        <f t="shared" si="46"/>
        <v>7.1666666666666661</v>
      </c>
    </row>
    <row r="288" spans="1:14" ht="18.75" customHeight="1">
      <c r="A288" s="40" t="s">
        <v>1048</v>
      </c>
      <c r="B288" s="40"/>
      <c r="C288" s="40"/>
      <c r="D288" s="40"/>
      <c r="E288" s="40" t="s">
        <v>1033</v>
      </c>
      <c r="F288" s="45" t="s">
        <v>1037</v>
      </c>
      <c r="G288" s="40">
        <v>7</v>
      </c>
      <c r="H288" s="46">
        <f>G288</f>
        <v>7</v>
      </c>
      <c r="I288" s="40" t="s">
        <v>39</v>
      </c>
      <c r="J288" s="57">
        <f>1/60*10</f>
        <v>0.16666666666666666</v>
      </c>
      <c r="K288" s="40" t="s">
        <v>1035</v>
      </c>
      <c r="L288" s="49">
        <f t="shared" si="47"/>
        <v>1.1666666666666665</v>
      </c>
      <c r="M288" s="40"/>
      <c r="N288" s="57">
        <f t="shared" si="46"/>
        <v>1.1666666666666665</v>
      </c>
    </row>
    <row r="289" spans="1:14" ht="18.75" customHeight="1">
      <c r="A289" s="40" t="s">
        <v>1049</v>
      </c>
      <c r="B289" s="40"/>
      <c r="C289" s="40"/>
      <c r="D289" s="40"/>
      <c r="E289" s="40" t="s">
        <v>1039</v>
      </c>
      <c r="F289" s="45" t="s">
        <v>1040</v>
      </c>
      <c r="G289" s="40">
        <v>14</v>
      </c>
      <c r="H289" s="46">
        <f>G289</f>
        <v>14</v>
      </c>
      <c r="I289" s="40" t="s">
        <v>39</v>
      </c>
      <c r="J289" s="57">
        <f>1/60*10</f>
        <v>0.16666666666666666</v>
      </c>
      <c r="K289" s="40" t="s">
        <v>1035</v>
      </c>
      <c r="L289" s="49">
        <f t="shared" si="47"/>
        <v>2.333333333333333</v>
      </c>
      <c r="M289" s="40"/>
      <c r="N289" s="57">
        <f t="shared" si="46"/>
        <v>2.333333333333333</v>
      </c>
    </row>
    <row r="290" spans="1:14" ht="18.75" customHeight="1">
      <c r="A290" s="40" t="s">
        <v>1050</v>
      </c>
      <c r="B290" s="40"/>
      <c r="C290" s="40"/>
      <c r="D290" s="40"/>
      <c r="E290" s="40" t="s">
        <v>1042</v>
      </c>
      <c r="F290" s="45"/>
      <c r="G290" s="40">
        <f>838/2</f>
        <v>419</v>
      </c>
      <c r="H290" s="46">
        <f>G290</f>
        <v>419</v>
      </c>
      <c r="I290" s="40" t="s">
        <v>39</v>
      </c>
      <c r="J290" s="57">
        <f>1/60*5</f>
        <v>8.3333333333333329E-2</v>
      </c>
      <c r="K290" s="40" t="s">
        <v>1035</v>
      </c>
      <c r="L290" s="49">
        <f t="shared" si="47"/>
        <v>34.916666666666664</v>
      </c>
      <c r="M290" s="40"/>
      <c r="N290" s="57">
        <f t="shared" si="46"/>
        <v>34.916666666666664</v>
      </c>
    </row>
    <row r="291" spans="1:14" ht="18.75" customHeight="1">
      <c r="A291" s="40" t="s">
        <v>1051</v>
      </c>
      <c r="B291" s="40" t="s">
        <v>859</v>
      </c>
      <c r="C291" s="40"/>
      <c r="D291" s="40">
        <v>24</v>
      </c>
      <c r="E291" s="40">
        <v>100</v>
      </c>
      <c r="F291" s="45">
        <v>500</v>
      </c>
      <c r="G291" s="40">
        <v>2</v>
      </c>
      <c r="H291" s="46">
        <f t="shared" ref="H291" si="48">(E291*2*0.001+F291*2*0.001)*G291</f>
        <v>2.4</v>
      </c>
      <c r="I291" s="40"/>
      <c r="J291" s="40">
        <f>VLOOKUP(D291,BM!$B$3:$Y$58,3,FALSE)</f>
        <v>0.25</v>
      </c>
      <c r="K291" s="40"/>
      <c r="L291" s="49">
        <f t="shared" si="47"/>
        <v>0.6</v>
      </c>
      <c r="M291" s="40">
        <v>1</v>
      </c>
      <c r="N291" s="57">
        <f t="shared" si="46"/>
        <v>1.6</v>
      </c>
    </row>
    <row r="292" spans="1:14" ht="18.75" customHeight="1">
      <c r="C292" s="35"/>
      <c r="D292" s="35"/>
      <c r="E292" s="35"/>
      <c r="F292" s="47"/>
      <c r="G292" s="35"/>
      <c r="H292" s="48"/>
      <c r="I292" s="35"/>
      <c r="J292" s="35"/>
      <c r="K292" s="35"/>
      <c r="L292" s="54"/>
      <c r="M292" s="35"/>
      <c r="N292" s="61"/>
    </row>
    <row r="293" spans="1:14" ht="18.75" customHeight="1">
      <c r="A293" s="37" t="s">
        <v>850</v>
      </c>
      <c r="B293" s="38" t="s">
        <v>851</v>
      </c>
      <c r="C293" s="38"/>
      <c r="D293" s="39" t="s">
        <v>2</v>
      </c>
      <c r="E293" s="39" t="s">
        <v>892</v>
      </c>
      <c r="F293" s="39" t="s">
        <v>893</v>
      </c>
      <c r="G293" s="39" t="s">
        <v>4</v>
      </c>
      <c r="H293" s="39" t="s">
        <v>854</v>
      </c>
      <c r="I293" s="39" t="s">
        <v>5</v>
      </c>
      <c r="J293" s="39" t="s">
        <v>855</v>
      </c>
      <c r="K293" s="39" t="s">
        <v>5</v>
      </c>
      <c r="L293" s="39" t="s">
        <v>854</v>
      </c>
      <c r="M293" s="39" t="s">
        <v>856</v>
      </c>
      <c r="N293" s="39" t="s">
        <v>857</v>
      </c>
    </row>
    <row r="294" spans="1:14" ht="18.75" customHeight="1">
      <c r="A294" s="40" t="s">
        <v>1052</v>
      </c>
      <c r="B294" s="40" t="s">
        <v>859</v>
      </c>
      <c r="C294" s="40"/>
      <c r="D294" s="40"/>
      <c r="E294" s="40"/>
      <c r="F294" s="45"/>
      <c r="G294" s="40"/>
      <c r="H294" s="46"/>
      <c r="I294" s="40"/>
      <c r="J294" s="40"/>
      <c r="K294" s="40"/>
      <c r="L294" s="49"/>
      <c r="M294" s="40"/>
      <c r="N294" s="57"/>
    </row>
    <row r="295" spans="1:14" ht="18.75" customHeight="1">
      <c r="A295" s="40" t="s">
        <v>1053</v>
      </c>
      <c r="B295" s="40" t="s">
        <v>859</v>
      </c>
      <c r="C295" s="40"/>
      <c r="D295" s="40">
        <v>20</v>
      </c>
      <c r="E295" s="40">
        <v>70</v>
      </c>
      <c r="F295" s="45">
        <v>8571</v>
      </c>
      <c r="G295" s="40">
        <v>2</v>
      </c>
      <c r="H295" s="46">
        <v>2</v>
      </c>
      <c r="I295" s="40"/>
      <c r="J295" s="40">
        <v>8</v>
      </c>
      <c r="K295" s="40"/>
      <c r="L295" s="49">
        <f t="shared" ref="L295" si="49">H295*J295</f>
        <v>16</v>
      </c>
      <c r="M295" s="40">
        <v>1</v>
      </c>
      <c r="N295" s="57">
        <f t="shared" ref="N295:N301" si="50">L295+M295</f>
        <v>17</v>
      </c>
    </row>
    <row r="296" spans="1:14" ht="18.75" customHeight="1">
      <c r="A296" s="40" t="s">
        <v>1054</v>
      </c>
      <c r="B296" s="40" t="s">
        <v>859</v>
      </c>
      <c r="C296" s="40"/>
      <c r="D296" s="40"/>
      <c r="E296" s="40"/>
      <c r="F296" s="45"/>
      <c r="G296" s="40"/>
      <c r="H296" s="46"/>
      <c r="I296" s="40"/>
      <c r="J296" s="40"/>
      <c r="K296" s="40"/>
      <c r="L296" s="49"/>
      <c r="M296" s="40"/>
      <c r="N296" s="57"/>
    </row>
    <row r="297" spans="1:14" ht="18.75" customHeight="1">
      <c r="A297" s="40" t="s">
        <v>1055</v>
      </c>
      <c r="B297" s="40"/>
      <c r="C297" s="40"/>
      <c r="D297" s="40"/>
      <c r="E297" s="40" t="s">
        <v>1033</v>
      </c>
      <c r="F297" s="45" t="s">
        <v>1034</v>
      </c>
      <c r="G297" s="40">
        <v>43</v>
      </c>
      <c r="H297" s="46">
        <f>G297</f>
        <v>43</v>
      </c>
      <c r="I297" s="40" t="s">
        <v>39</v>
      </c>
      <c r="J297" s="57">
        <v>0.5</v>
      </c>
      <c r="K297" s="40" t="s">
        <v>1035</v>
      </c>
      <c r="L297" s="49">
        <f t="shared" ref="L297:L301" si="51">H297*J297</f>
        <v>21.5</v>
      </c>
      <c r="M297" s="40"/>
      <c r="N297" s="57">
        <f t="shared" si="50"/>
        <v>21.5</v>
      </c>
    </row>
    <row r="298" spans="1:14" ht="18.75" customHeight="1">
      <c r="A298" s="40" t="s">
        <v>1056</v>
      </c>
      <c r="B298" s="40"/>
      <c r="C298" s="40"/>
      <c r="D298" s="40"/>
      <c r="E298" s="40" t="s">
        <v>1033</v>
      </c>
      <c r="F298" s="45" t="s">
        <v>1037</v>
      </c>
      <c r="G298" s="40">
        <v>7</v>
      </c>
      <c r="H298" s="46">
        <f>G298</f>
        <v>7</v>
      </c>
      <c r="I298" s="40" t="s">
        <v>39</v>
      </c>
      <c r="J298" s="57">
        <v>0.5</v>
      </c>
      <c r="K298" s="40" t="s">
        <v>1035</v>
      </c>
      <c r="L298" s="49">
        <f t="shared" si="51"/>
        <v>3.5</v>
      </c>
      <c r="M298" s="40"/>
      <c r="N298" s="57">
        <f t="shared" si="50"/>
        <v>3.5</v>
      </c>
    </row>
    <row r="299" spans="1:14" ht="18.75" customHeight="1">
      <c r="A299" s="40" t="s">
        <v>1057</v>
      </c>
      <c r="B299" s="40"/>
      <c r="C299" s="40"/>
      <c r="D299" s="40"/>
      <c r="E299" s="40" t="s">
        <v>1039</v>
      </c>
      <c r="F299" s="45" t="s">
        <v>1040</v>
      </c>
      <c r="G299" s="40">
        <v>14</v>
      </c>
      <c r="H299" s="46">
        <f>G299</f>
        <v>14</v>
      </c>
      <c r="I299" s="40" t="s">
        <v>39</v>
      </c>
      <c r="J299" s="57">
        <v>0.5</v>
      </c>
      <c r="K299" s="40" t="s">
        <v>1035</v>
      </c>
      <c r="L299" s="49">
        <f t="shared" si="51"/>
        <v>7</v>
      </c>
      <c r="M299" s="40"/>
      <c r="N299" s="57">
        <f t="shared" si="50"/>
        <v>7</v>
      </c>
    </row>
    <row r="300" spans="1:14" ht="18.75" customHeight="1">
      <c r="A300" s="40" t="s">
        <v>1058</v>
      </c>
      <c r="B300" s="40"/>
      <c r="C300" s="40"/>
      <c r="D300" s="40"/>
      <c r="E300" s="40" t="s">
        <v>1042</v>
      </c>
      <c r="F300" s="45"/>
      <c r="G300" s="40">
        <f>838/2</f>
        <v>419</v>
      </c>
      <c r="H300" s="46">
        <f>G300</f>
        <v>419</v>
      </c>
      <c r="I300" s="40" t="s">
        <v>39</v>
      </c>
      <c r="J300" s="57">
        <f>1/60*10</f>
        <v>0.16666666666666666</v>
      </c>
      <c r="K300" s="40" t="s">
        <v>1035</v>
      </c>
      <c r="L300" s="49">
        <f t="shared" si="51"/>
        <v>69.833333333333329</v>
      </c>
      <c r="M300" s="40"/>
      <c r="N300" s="57">
        <f t="shared" si="50"/>
        <v>69.833333333333329</v>
      </c>
    </row>
    <row r="301" spans="1:14" ht="18.75" customHeight="1">
      <c r="A301" s="40" t="s">
        <v>1059</v>
      </c>
      <c r="B301" s="40" t="s">
        <v>859</v>
      </c>
      <c r="C301" s="40"/>
      <c r="D301" s="40">
        <v>24</v>
      </c>
      <c r="E301" s="40">
        <v>100</v>
      </c>
      <c r="F301" s="45">
        <v>500</v>
      </c>
      <c r="G301" s="40">
        <v>2</v>
      </c>
      <c r="H301" s="46">
        <v>1</v>
      </c>
      <c r="I301" s="40"/>
      <c r="J301" s="40">
        <v>6</v>
      </c>
      <c r="K301" s="40"/>
      <c r="L301" s="49">
        <f t="shared" si="51"/>
        <v>6</v>
      </c>
      <c r="M301" s="40">
        <v>1</v>
      </c>
      <c r="N301" s="57">
        <f t="shared" si="50"/>
        <v>7</v>
      </c>
    </row>
    <row r="302" spans="1:14" ht="18.75" customHeight="1">
      <c r="A302" s="34"/>
      <c r="B302" s="34"/>
      <c r="C302" s="34"/>
    </row>
    <row r="303" spans="1:14" ht="18.75" customHeight="1">
      <c r="A303" s="40" t="s">
        <v>831</v>
      </c>
      <c r="B303" s="40"/>
      <c r="C303" s="40"/>
      <c r="D303" s="40">
        <v>1000</v>
      </c>
      <c r="E303" s="40"/>
      <c r="F303" s="45"/>
      <c r="G303" s="40">
        <v>1</v>
      </c>
      <c r="H303" s="46">
        <f t="shared" ref="H303:H320" si="52">G303</f>
        <v>1</v>
      </c>
      <c r="I303" s="40"/>
      <c r="J303" s="40">
        <f>VLOOKUP(D303,BM!$B$3:$Y$58,2,FALSE)</f>
        <v>12</v>
      </c>
      <c r="K303" s="40"/>
      <c r="L303" s="49">
        <f t="shared" ref="L303:L327" si="53">H303*J303</f>
        <v>12</v>
      </c>
      <c r="M303" s="40">
        <v>1</v>
      </c>
      <c r="N303" s="57">
        <f t="shared" ref="N303:N327" si="54">L303+M303</f>
        <v>13</v>
      </c>
    </row>
    <row r="304" spans="1:14" ht="18.75" customHeight="1">
      <c r="A304" s="40" t="s">
        <v>1060</v>
      </c>
      <c r="B304" s="40"/>
      <c r="C304" s="40"/>
      <c r="D304" s="40">
        <v>1000</v>
      </c>
      <c r="E304" s="40"/>
      <c r="F304" s="45"/>
      <c r="G304" s="40">
        <v>1</v>
      </c>
      <c r="H304" s="46">
        <f t="shared" si="52"/>
        <v>1</v>
      </c>
      <c r="I304" s="40" t="s">
        <v>81</v>
      </c>
      <c r="J304" s="40">
        <f>VLOOKUP(D304,BM!$B$3:$Y$58,3,FALSE)</f>
        <v>4</v>
      </c>
      <c r="K304" s="40"/>
      <c r="L304" s="49">
        <f t="shared" si="53"/>
        <v>4</v>
      </c>
      <c r="M304" s="40">
        <v>1</v>
      </c>
      <c r="N304" s="57">
        <f t="shared" si="54"/>
        <v>5</v>
      </c>
    </row>
    <row r="305" spans="1:14" ht="18.75" customHeight="1">
      <c r="A305" s="40" t="s">
        <v>1061</v>
      </c>
      <c r="B305" s="40"/>
      <c r="C305" s="40"/>
      <c r="D305" s="40">
        <v>1000</v>
      </c>
      <c r="E305" s="40"/>
      <c r="F305" s="45"/>
      <c r="G305" s="40">
        <v>17</v>
      </c>
      <c r="H305" s="46">
        <f t="shared" si="52"/>
        <v>17</v>
      </c>
      <c r="I305" s="40" t="s">
        <v>81</v>
      </c>
      <c r="J305" s="40">
        <f>VLOOKUP(D305,BM!$B$3:$Y$58,4,FALSE)</f>
        <v>0.15</v>
      </c>
      <c r="K305" s="40"/>
      <c r="L305" s="49">
        <f t="shared" si="53"/>
        <v>2.5499999999999998</v>
      </c>
      <c r="M305" s="40">
        <v>1</v>
      </c>
      <c r="N305" s="57">
        <f t="shared" si="54"/>
        <v>3.55</v>
      </c>
    </row>
    <row r="306" spans="1:14" ht="18.75" customHeight="1">
      <c r="A306" s="40" t="s">
        <v>1062</v>
      </c>
      <c r="B306" s="40"/>
      <c r="C306" s="40"/>
      <c r="D306" s="40">
        <v>1000</v>
      </c>
      <c r="E306" s="40"/>
      <c r="F306" s="45"/>
      <c r="G306" s="40">
        <v>22</v>
      </c>
      <c r="H306" s="46">
        <f t="shared" si="52"/>
        <v>22</v>
      </c>
      <c r="I306" s="40" t="s">
        <v>81</v>
      </c>
      <c r="J306" s="40">
        <f>VLOOKUP(D306,BM!$B$3:$Y$58,5,FALSE)</f>
        <v>0.5</v>
      </c>
      <c r="K306" s="40"/>
      <c r="L306" s="49">
        <f t="shared" si="53"/>
        <v>11</v>
      </c>
      <c r="M306" s="40">
        <v>1</v>
      </c>
      <c r="N306" s="57">
        <f t="shared" si="54"/>
        <v>12</v>
      </c>
    </row>
    <row r="307" spans="1:14" ht="18.75" customHeight="1">
      <c r="A307" s="40" t="s">
        <v>835</v>
      </c>
      <c r="B307" s="40"/>
      <c r="C307" s="40"/>
      <c r="D307" s="40">
        <v>1000</v>
      </c>
      <c r="E307" s="40"/>
      <c r="F307" s="45"/>
      <c r="G307" s="40">
        <v>500</v>
      </c>
      <c r="H307" s="46">
        <f t="shared" si="52"/>
        <v>500</v>
      </c>
      <c r="I307" s="40" t="s">
        <v>81</v>
      </c>
      <c r="J307" s="62">
        <f>VLOOKUP(D307,BM!$B$3:$Y$58,6,FALSE)</f>
        <v>8.3333333333333329E-2</v>
      </c>
      <c r="K307" s="62"/>
      <c r="L307" s="49">
        <f t="shared" si="53"/>
        <v>41.666666666666664</v>
      </c>
      <c r="M307" s="40">
        <v>1</v>
      </c>
      <c r="N307" s="57">
        <f t="shared" si="54"/>
        <v>42.666666666666664</v>
      </c>
    </row>
    <row r="308" spans="1:14" ht="18.75" customHeight="1">
      <c r="A308" s="40" t="s">
        <v>1063</v>
      </c>
      <c r="B308" s="40"/>
      <c r="C308" s="40"/>
      <c r="D308" s="40">
        <v>1000</v>
      </c>
      <c r="E308" s="40"/>
      <c r="F308" s="45"/>
      <c r="G308" s="40">
        <v>10</v>
      </c>
      <c r="H308" s="46">
        <f t="shared" si="52"/>
        <v>10</v>
      </c>
      <c r="I308" s="40" t="s">
        <v>81</v>
      </c>
      <c r="J308" s="40">
        <f>VLOOKUP(D308,BM!$B$3:$Y$58,10,FALSE)</f>
        <v>0.25</v>
      </c>
      <c r="K308" s="40"/>
      <c r="L308" s="49">
        <f t="shared" si="53"/>
        <v>2.5</v>
      </c>
      <c r="M308" s="40">
        <v>1</v>
      </c>
      <c r="N308" s="57">
        <f t="shared" si="54"/>
        <v>3.5</v>
      </c>
    </row>
    <row r="309" spans="1:14" ht="18.75" customHeight="1">
      <c r="A309" s="40" t="s">
        <v>835</v>
      </c>
      <c r="B309" s="40"/>
      <c r="C309" s="40"/>
      <c r="D309" s="40">
        <v>1000</v>
      </c>
      <c r="E309" s="40"/>
      <c r="F309" s="45"/>
      <c r="G309" s="40">
        <v>550</v>
      </c>
      <c r="H309" s="46">
        <f t="shared" si="52"/>
        <v>550</v>
      </c>
      <c r="I309" s="40" t="s">
        <v>81</v>
      </c>
      <c r="J309" s="57">
        <f>VLOOKUP(D309,BM!$B$3:$Y$58,6,FALSE)</f>
        <v>8.3333333333333329E-2</v>
      </c>
      <c r="K309" s="57"/>
      <c r="L309" s="49">
        <f t="shared" si="53"/>
        <v>45.833333333333329</v>
      </c>
      <c r="M309" s="40">
        <v>1</v>
      </c>
      <c r="N309" s="57">
        <f t="shared" si="54"/>
        <v>46.833333333333329</v>
      </c>
    </row>
    <row r="310" spans="1:14" ht="18.75" customHeight="1">
      <c r="A310" s="40" t="s">
        <v>1064</v>
      </c>
      <c r="B310" s="40"/>
      <c r="C310" s="40"/>
      <c r="D310" s="40">
        <v>1000</v>
      </c>
      <c r="E310" s="40"/>
      <c r="F310" s="45"/>
      <c r="G310" s="40">
        <v>0</v>
      </c>
      <c r="H310" s="46">
        <f t="shared" si="52"/>
        <v>0</v>
      </c>
      <c r="I310" s="40" t="s">
        <v>81</v>
      </c>
      <c r="J310" s="40">
        <f>VLOOKUP(D310,BM!$B$3:$Y$58,8,FALSE)</f>
        <v>2</v>
      </c>
      <c r="K310" s="40"/>
      <c r="L310" s="49">
        <f t="shared" si="53"/>
        <v>0</v>
      </c>
      <c r="M310" s="40">
        <v>1</v>
      </c>
      <c r="N310" s="57">
        <f t="shared" si="54"/>
        <v>1</v>
      </c>
    </row>
    <row r="311" spans="1:14" ht="18.75" customHeight="1">
      <c r="A311" s="40" t="s">
        <v>1065</v>
      </c>
      <c r="B311" s="40"/>
      <c r="C311" s="40"/>
      <c r="D311" s="40">
        <v>1000</v>
      </c>
      <c r="E311" s="40"/>
      <c r="F311" s="45"/>
      <c r="G311" s="40">
        <v>2</v>
      </c>
      <c r="H311" s="46">
        <f t="shared" si="52"/>
        <v>2</v>
      </c>
      <c r="I311" s="40" t="s">
        <v>81</v>
      </c>
      <c r="J311" s="40">
        <f>VLOOKUP(D311,BM!$B$3:$Y$58,8,FALSE)</f>
        <v>2</v>
      </c>
      <c r="K311" s="40"/>
      <c r="L311" s="49">
        <f t="shared" si="53"/>
        <v>4</v>
      </c>
      <c r="M311" s="40">
        <v>1</v>
      </c>
      <c r="N311" s="57">
        <f t="shared" si="54"/>
        <v>5</v>
      </c>
    </row>
    <row r="312" spans="1:14" ht="18.75" customHeight="1">
      <c r="A312" s="40" t="s">
        <v>1066</v>
      </c>
      <c r="B312" s="40"/>
      <c r="C312" s="40"/>
      <c r="D312" s="40">
        <v>1000</v>
      </c>
      <c r="E312" s="40"/>
      <c r="F312" s="45"/>
      <c r="G312" s="40">
        <v>60</v>
      </c>
      <c r="H312" s="46">
        <f t="shared" si="52"/>
        <v>60</v>
      </c>
      <c r="I312" s="40" t="s">
        <v>81</v>
      </c>
      <c r="J312" s="40">
        <f>VLOOKUP(D312,BM!$B$3:$Y$58,9,FALSE)</f>
        <v>0.25</v>
      </c>
      <c r="K312" s="40"/>
      <c r="L312" s="49">
        <f t="shared" si="53"/>
        <v>15</v>
      </c>
      <c r="M312" s="40">
        <v>1</v>
      </c>
      <c r="N312" s="57">
        <f t="shared" si="54"/>
        <v>16</v>
      </c>
    </row>
    <row r="313" spans="1:14" ht="18.75" customHeight="1">
      <c r="A313" s="40" t="s">
        <v>1067</v>
      </c>
      <c r="B313" s="40"/>
      <c r="C313" s="40"/>
      <c r="D313" s="40">
        <v>1000</v>
      </c>
      <c r="E313" s="40"/>
      <c r="F313" s="45"/>
      <c r="G313" s="40">
        <v>60</v>
      </c>
      <c r="H313" s="46">
        <f t="shared" si="52"/>
        <v>60</v>
      </c>
      <c r="I313" s="40" t="s">
        <v>81</v>
      </c>
      <c r="J313" s="40">
        <v>0.15</v>
      </c>
      <c r="K313" s="40"/>
      <c r="L313" s="49">
        <f t="shared" si="53"/>
        <v>9</v>
      </c>
      <c r="M313" s="40">
        <v>1</v>
      </c>
      <c r="N313" s="57">
        <f t="shared" si="54"/>
        <v>10</v>
      </c>
    </row>
    <row r="314" spans="1:14" ht="18.75" customHeight="1">
      <c r="A314" s="40" t="s">
        <v>1068</v>
      </c>
      <c r="B314" s="40"/>
      <c r="C314" s="40"/>
      <c r="D314" s="40">
        <v>1000</v>
      </c>
      <c r="E314" s="40"/>
      <c r="F314" s="45"/>
      <c r="G314" s="40">
        <v>1</v>
      </c>
      <c r="H314" s="46">
        <f t="shared" si="52"/>
        <v>1</v>
      </c>
      <c r="I314" s="40" t="s">
        <v>81</v>
      </c>
      <c r="J314" s="40">
        <f>VLOOKUP(D314,BM!$B$3:$Y$58,12,FALSE)</f>
        <v>16</v>
      </c>
      <c r="K314" s="40"/>
      <c r="L314" s="49">
        <f t="shared" si="53"/>
        <v>16</v>
      </c>
      <c r="M314" s="40">
        <v>1</v>
      </c>
      <c r="N314" s="57">
        <f t="shared" si="54"/>
        <v>17</v>
      </c>
    </row>
    <row r="315" spans="1:14" ht="18.75" customHeight="1">
      <c r="A315" s="40" t="s">
        <v>1069</v>
      </c>
      <c r="B315" s="40"/>
      <c r="C315" s="40"/>
      <c r="D315" s="40">
        <v>1000</v>
      </c>
      <c r="E315" s="40"/>
      <c r="F315" s="45"/>
      <c r="G315" s="40">
        <v>1</v>
      </c>
      <c r="H315" s="46">
        <f t="shared" si="52"/>
        <v>1</v>
      </c>
      <c r="I315" s="40" t="s">
        <v>81</v>
      </c>
      <c r="J315" s="40">
        <f>VLOOKUP(D315,BM!$B$3:$Y$58,17,FALSE)</f>
        <v>16</v>
      </c>
      <c r="K315" s="40"/>
      <c r="L315" s="49">
        <f t="shared" si="53"/>
        <v>16</v>
      </c>
      <c r="M315" s="40">
        <v>1</v>
      </c>
      <c r="N315" s="57">
        <f t="shared" si="54"/>
        <v>17</v>
      </c>
    </row>
    <row r="316" spans="1:14" ht="18.75" customHeight="1">
      <c r="A316" s="40" t="s">
        <v>1070</v>
      </c>
      <c r="B316" s="40"/>
      <c r="C316" s="40"/>
      <c r="D316" s="40">
        <v>1000</v>
      </c>
      <c r="E316" s="40"/>
      <c r="F316" s="45"/>
      <c r="G316" s="40">
        <v>56</v>
      </c>
      <c r="H316" s="46">
        <f t="shared" si="52"/>
        <v>56</v>
      </c>
      <c r="I316" s="40" t="s">
        <v>81</v>
      </c>
      <c r="J316" s="40">
        <f>VLOOKUP(D316,BM!$B$3:$Y$58,13,FALSE)</f>
        <v>0.5</v>
      </c>
      <c r="K316" s="40"/>
      <c r="L316" s="49">
        <f t="shared" si="53"/>
        <v>28</v>
      </c>
      <c r="M316" s="40">
        <v>1</v>
      </c>
      <c r="N316" s="57">
        <f t="shared" si="54"/>
        <v>29</v>
      </c>
    </row>
    <row r="317" spans="1:14" ht="18.75" customHeight="1">
      <c r="A317" s="40" t="s">
        <v>1071</v>
      </c>
      <c r="B317" s="40"/>
      <c r="C317" s="40"/>
      <c r="D317" s="40">
        <v>1000</v>
      </c>
      <c r="E317" s="40"/>
      <c r="F317" s="45"/>
      <c r="G317" s="40">
        <v>1050</v>
      </c>
      <c r="H317" s="46">
        <f t="shared" si="52"/>
        <v>1050</v>
      </c>
      <c r="I317" s="40" t="s">
        <v>81</v>
      </c>
      <c r="J317" s="40">
        <f>VLOOKUP(D317,BM!$B$3:$Y$58,20,FALSE)</f>
        <v>0.05</v>
      </c>
      <c r="K317" s="40"/>
      <c r="L317" s="49">
        <f t="shared" si="53"/>
        <v>52.5</v>
      </c>
      <c r="M317" s="40">
        <v>1</v>
      </c>
      <c r="N317" s="57">
        <f t="shared" si="54"/>
        <v>53.5</v>
      </c>
    </row>
    <row r="318" spans="1:14" ht="18.75" customHeight="1">
      <c r="A318" s="40" t="s">
        <v>1072</v>
      </c>
      <c r="B318" s="40"/>
      <c r="C318" s="40"/>
      <c r="D318" s="40">
        <v>1000</v>
      </c>
      <c r="E318" s="40"/>
      <c r="F318" s="45"/>
      <c r="G318" s="40">
        <v>1050</v>
      </c>
      <c r="H318" s="46">
        <f t="shared" si="52"/>
        <v>1050</v>
      </c>
      <c r="I318" s="40" t="s">
        <v>81</v>
      </c>
      <c r="J318" s="40">
        <f>VLOOKUP(D318,BM!$B$3:$Y$58,20,FALSE)</f>
        <v>0.05</v>
      </c>
      <c r="K318" s="40"/>
      <c r="L318" s="49">
        <f t="shared" si="53"/>
        <v>52.5</v>
      </c>
      <c r="M318" s="40">
        <v>1</v>
      </c>
      <c r="N318" s="57">
        <f t="shared" si="54"/>
        <v>53.5</v>
      </c>
    </row>
    <row r="319" spans="1:14" ht="18.75" customHeight="1">
      <c r="A319" s="40" t="s">
        <v>848</v>
      </c>
      <c r="B319" s="40"/>
      <c r="C319" s="40"/>
      <c r="D319" s="40">
        <v>1000</v>
      </c>
      <c r="E319" s="40"/>
      <c r="F319" s="45"/>
      <c r="G319" s="40">
        <v>1461</v>
      </c>
      <c r="H319" s="46">
        <f t="shared" si="52"/>
        <v>1461</v>
      </c>
      <c r="I319" s="40" t="s">
        <v>81</v>
      </c>
      <c r="J319" s="40">
        <f>VLOOKUP(D319,BM!$B$3:$Y$58,20,FALSE)</f>
        <v>0.05</v>
      </c>
      <c r="K319" s="40"/>
      <c r="L319" s="49">
        <f t="shared" si="53"/>
        <v>73.05</v>
      </c>
      <c r="M319" s="40">
        <v>1</v>
      </c>
      <c r="N319" s="57">
        <f t="shared" si="54"/>
        <v>74.05</v>
      </c>
    </row>
    <row r="320" spans="1:14" ht="18.75" customHeight="1">
      <c r="A320" s="40" t="s">
        <v>1073</v>
      </c>
      <c r="B320" s="40"/>
      <c r="C320" s="40"/>
      <c r="D320" s="40">
        <v>1000</v>
      </c>
      <c r="E320" s="40"/>
      <c r="F320" s="45"/>
      <c r="G320" s="40">
        <f>1050*2</f>
        <v>2100</v>
      </c>
      <c r="H320" s="46">
        <f t="shared" si="52"/>
        <v>2100</v>
      </c>
      <c r="I320" s="40" t="s">
        <v>81</v>
      </c>
      <c r="J320" s="40">
        <f>VLOOKUP(D320,BM!$B$3:$Y$58,20,FALSE)</f>
        <v>0.05</v>
      </c>
      <c r="K320" s="40"/>
      <c r="L320" s="49">
        <f t="shared" si="53"/>
        <v>105</v>
      </c>
      <c r="M320" s="40">
        <v>1</v>
      </c>
      <c r="N320" s="57">
        <f t="shared" si="54"/>
        <v>106</v>
      </c>
    </row>
    <row r="321" spans="1:14" ht="18.75" customHeight="1">
      <c r="A321" s="40" t="s">
        <v>1074</v>
      </c>
      <c r="B321" s="40"/>
      <c r="C321" s="40"/>
      <c r="D321" s="40" t="s">
        <v>581</v>
      </c>
      <c r="E321" s="40"/>
      <c r="F321" s="45"/>
      <c r="G321" s="40">
        <v>1</v>
      </c>
      <c r="H321" s="46">
        <v>1</v>
      </c>
      <c r="I321" s="40" t="s">
        <v>81</v>
      </c>
      <c r="J321" s="40">
        <v>10</v>
      </c>
      <c r="K321" s="40"/>
      <c r="L321" s="49">
        <f t="shared" si="53"/>
        <v>10</v>
      </c>
      <c r="M321" s="40">
        <v>1</v>
      </c>
      <c r="N321" s="57">
        <f t="shared" si="54"/>
        <v>11</v>
      </c>
    </row>
    <row r="322" spans="1:14" ht="18.75" customHeight="1">
      <c r="A322" s="40" t="s">
        <v>677</v>
      </c>
      <c r="B322" s="40"/>
      <c r="C322" s="40"/>
      <c r="D322" s="40">
        <v>1000</v>
      </c>
      <c r="E322" s="40"/>
      <c r="F322" s="45"/>
      <c r="G322" s="40">
        <v>1</v>
      </c>
      <c r="H322" s="46">
        <f t="shared" ref="H322:H327" si="55">G322</f>
        <v>1</v>
      </c>
      <c r="I322" s="40" t="s">
        <v>81</v>
      </c>
      <c r="J322" s="40">
        <v>16</v>
      </c>
      <c r="K322" s="40"/>
      <c r="L322" s="49">
        <f t="shared" si="53"/>
        <v>16</v>
      </c>
      <c r="M322" s="40">
        <v>1</v>
      </c>
      <c r="N322" s="57">
        <f t="shared" si="54"/>
        <v>17</v>
      </c>
    </row>
    <row r="323" spans="1:14" ht="18.75" customHeight="1">
      <c r="A323" s="40" t="s">
        <v>1075</v>
      </c>
      <c r="B323" s="40"/>
      <c r="C323" s="40"/>
      <c r="D323" s="40">
        <v>1000</v>
      </c>
      <c r="E323" s="40"/>
      <c r="F323" s="45"/>
      <c r="G323" s="40">
        <v>55</v>
      </c>
      <c r="H323" s="46">
        <f t="shared" si="55"/>
        <v>55</v>
      </c>
      <c r="I323" s="40" t="s">
        <v>1076</v>
      </c>
      <c r="J323" s="65">
        <f>VLOOKUP(D323,BM!$B$3:$Y$58,14,FALSE)</f>
        <v>0.16666666666666666</v>
      </c>
      <c r="K323" s="65"/>
      <c r="L323" s="49">
        <f t="shared" si="53"/>
        <v>9.1666666666666661</v>
      </c>
      <c r="M323" s="40">
        <v>1</v>
      </c>
      <c r="N323" s="57">
        <f t="shared" si="54"/>
        <v>10.166666666666666</v>
      </c>
    </row>
    <row r="324" spans="1:14" ht="18.75" customHeight="1">
      <c r="A324" s="40" t="s">
        <v>1077</v>
      </c>
      <c r="B324" s="40"/>
      <c r="C324" s="40"/>
      <c r="D324" s="40">
        <v>1000</v>
      </c>
      <c r="E324" s="40"/>
      <c r="F324" s="45"/>
      <c r="G324" s="40">
        <v>55</v>
      </c>
      <c r="H324" s="46">
        <f t="shared" si="55"/>
        <v>55</v>
      </c>
      <c r="I324" s="40" t="s">
        <v>1076</v>
      </c>
      <c r="J324" s="40">
        <f>VLOOKUP(D324,BM!$B$3:$Y$58,13,FALSE)</f>
        <v>0.5</v>
      </c>
      <c r="K324" s="40"/>
      <c r="L324" s="49">
        <f t="shared" si="53"/>
        <v>27.5</v>
      </c>
      <c r="M324" s="40">
        <v>1</v>
      </c>
      <c r="N324" s="57">
        <f t="shared" si="54"/>
        <v>28.5</v>
      </c>
    </row>
    <row r="325" spans="1:14" ht="18.75" customHeight="1">
      <c r="A325" s="40" t="s">
        <v>719</v>
      </c>
      <c r="B325" s="40"/>
      <c r="C325" s="40"/>
      <c r="D325" s="40">
        <v>1000</v>
      </c>
      <c r="E325" s="40"/>
      <c r="F325" s="45"/>
      <c r="G325" s="40">
        <v>1</v>
      </c>
      <c r="H325" s="46">
        <f t="shared" si="55"/>
        <v>1</v>
      </c>
      <c r="I325" s="40" t="s">
        <v>81</v>
      </c>
      <c r="J325" s="40">
        <v>16</v>
      </c>
      <c r="K325" s="40"/>
      <c r="L325" s="49">
        <f t="shared" si="53"/>
        <v>16</v>
      </c>
      <c r="M325" s="40">
        <v>1</v>
      </c>
      <c r="N325" s="57">
        <f t="shared" si="54"/>
        <v>17</v>
      </c>
    </row>
    <row r="326" spans="1:14" ht="18.75" customHeight="1">
      <c r="A326" s="40" t="s">
        <v>1078</v>
      </c>
      <c r="B326" s="40"/>
      <c r="C326" s="40"/>
      <c r="D326" s="40">
        <v>1000</v>
      </c>
      <c r="E326" s="40"/>
      <c r="F326" s="45"/>
      <c r="G326" s="40">
        <v>55</v>
      </c>
      <c r="H326" s="46">
        <f t="shared" si="55"/>
        <v>55</v>
      </c>
      <c r="I326" s="40" t="s">
        <v>81</v>
      </c>
      <c r="J326" s="40">
        <f>VLOOKUP(D326,BM!$B$3:$Y$58,13,FALSE)</f>
        <v>0.5</v>
      </c>
      <c r="K326" s="40"/>
      <c r="L326" s="49">
        <f t="shared" si="53"/>
        <v>27.5</v>
      </c>
      <c r="M326" s="40">
        <v>1</v>
      </c>
      <c r="N326" s="57">
        <f t="shared" si="54"/>
        <v>28.5</v>
      </c>
    </row>
    <row r="327" spans="1:14" ht="18.75" customHeight="1">
      <c r="A327" s="40" t="s">
        <v>677</v>
      </c>
      <c r="B327" s="40"/>
      <c r="C327" s="40"/>
      <c r="D327" s="40">
        <v>1000</v>
      </c>
      <c r="E327" s="40"/>
      <c r="F327" s="45"/>
      <c r="G327" s="40">
        <v>1</v>
      </c>
      <c r="H327" s="46">
        <f t="shared" si="55"/>
        <v>1</v>
      </c>
      <c r="I327" s="40" t="s">
        <v>81</v>
      </c>
      <c r="J327" s="40">
        <v>16</v>
      </c>
      <c r="K327" s="40"/>
      <c r="L327" s="49">
        <f t="shared" si="53"/>
        <v>16</v>
      </c>
      <c r="M327" s="40">
        <v>1</v>
      </c>
      <c r="N327" s="57">
        <f t="shared" si="54"/>
        <v>17</v>
      </c>
    </row>
    <row r="328" spans="1:14" ht="18.75" customHeight="1">
      <c r="H328" s="47"/>
      <c r="I328" s="47"/>
      <c r="J328" s="48"/>
      <c r="K328" s="48"/>
      <c r="L328" s="48"/>
      <c r="M328" s="48"/>
      <c r="N328" s="48"/>
    </row>
    <row r="329" spans="1:14" ht="18.75" customHeight="1">
      <c r="A329" s="40" t="s">
        <v>1079</v>
      </c>
      <c r="B329" s="40"/>
      <c r="C329" s="40"/>
      <c r="D329" s="40" t="s">
        <v>695</v>
      </c>
      <c r="E329" s="40"/>
      <c r="F329" s="45"/>
      <c r="G329" s="40"/>
      <c r="H329" s="46">
        <v>1</v>
      </c>
      <c r="I329" s="40" t="s">
        <v>39</v>
      </c>
      <c r="J329" s="40" t="e">
        <f>VLOOKUP(D329,BM!$B$3:$Y$58,2,FALSE)</f>
        <v>#N/A</v>
      </c>
      <c r="K329" s="40"/>
      <c r="L329" s="49" t="e">
        <f t="shared" ref="L329:L363" si="56">H329*J329</f>
        <v>#N/A</v>
      </c>
      <c r="M329" s="40">
        <v>1</v>
      </c>
      <c r="N329" s="57" t="e">
        <f>L329+M329</f>
        <v>#N/A</v>
      </c>
    </row>
    <row r="330" spans="1:14" ht="18.75" customHeight="1">
      <c r="A330" s="40" t="s">
        <v>1079</v>
      </c>
      <c r="B330" s="40"/>
      <c r="C330" s="40"/>
      <c r="D330" s="40" t="s">
        <v>695</v>
      </c>
      <c r="E330" s="40"/>
      <c r="F330" s="45"/>
      <c r="G330" s="40"/>
      <c r="H330" s="46">
        <v>1</v>
      </c>
      <c r="I330" s="40" t="s">
        <v>39</v>
      </c>
      <c r="J330" s="40" t="e">
        <f>VLOOKUP(D330,BM!$B$3:$Y$58,2,FALSE)</f>
        <v>#N/A</v>
      </c>
      <c r="K330" s="40"/>
      <c r="L330" s="49" t="e">
        <f t="shared" si="56"/>
        <v>#N/A</v>
      </c>
      <c r="M330" s="40">
        <v>1</v>
      </c>
      <c r="N330" s="57" t="e">
        <f>L330+M330</f>
        <v>#N/A</v>
      </c>
    </row>
    <row r="331" spans="1:14" ht="18.75" customHeight="1">
      <c r="H331" s="47"/>
      <c r="I331" s="47"/>
      <c r="J331" s="48"/>
      <c r="K331" s="48"/>
      <c r="L331" s="48"/>
      <c r="M331" s="48"/>
      <c r="N331" s="48"/>
    </row>
    <row r="332" spans="1:14" ht="18.75" customHeight="1">
      <c r="A332" s="40" t="s">
        <v>1080</v>
      </c>
      <c r="B332" s="40"/>
      <c r="C332" s="40"/>
      <c r="D332" s="40" t="s">
        <v>695</v>
      </c>
      <c r="E332" s="40"/>
      <c r="F332" s="45"/>
      <c r="G332" s="40"/>
      <c r="H332" s="46">
        <v>1</v>
      </c>
      <c r="I332" s="40" t="s">
        <v>39</v>
      </c>
      <c r="J332" s="40" t="e">
        <f>VLOOKUP(D332,BM!$B$3:$Y$58,3,FALSE)</f>
        <v>#N/A</v>
      </c>
      <c r="K332" s="40"/>
      <c r="L332" s="49" t="e">
        <f t="shared" si="56"/>
        <v>#N/A</v>
      </c>
      <c r="M332" s="40">
        <v>1</v>
      </c>
      <c r="N332" s="57" t="e">
        <f>L332+M332</f>
        <v>#N/A</v>
      </c>
    </row>
    <row r="333" spans="1:14" ht="18.75" customHeight="1">
      <c r="A333" s="40" t="s">
        <v>1080</v>
      </c>
      <c r="B333" s="40"/>
      <c r="C333" s="40"/>
      <c r="D333" s="40" t="s">
        <v>695</v>
      </c>
      <c r="E333" s="40"/>
      <c r="F333" s="45"/>
      <c r="G333" s="40"/>
      <c r="H333" s="46">
        <v>1</v>
      </c>
      <c r="I333" s="40" t="s">
        <v>39</v>
      </c>
      <c r="J333" s="40" t="e">
        <f>VLOOKUP(D333,BM!$B$3:$Y$58,3,FALSE)</f>
        <v>#N/A</v>
      </c>
      <c r="K333" s="40"/>
      <c r="L333" s="49" t="e">
        <f t="shared" si="56"/>
        <v>#N/A</v>
      </c>
      <c r="M333" s="40">
        <v>1</v>
      </c>
      <c r="N333" s="57" t="e">
        <f>L333+M333</f>
        <v>#N/A</v>
      </c>
    </row>
    <row r="334" spans="1:14" ht="18.75" customHeight="1">
      <c r="C334" s="35"/>
      <c r="D334" s="35"/>
      <c r="E334" s="35"/>
      <c r="F334" s="47"/>
      <c r="G334" s="35"/>
      <c r="H334" s="48"/>
      <c r="I334" s="35"/>
      <c r="N334" s="61"/>
    </row>
    <row r="335" spans="1:14" ht="18.75" customHeight="1">
      <c r="A335" s="40" t="s">
        <v>1081</v>
      </c>
      <c r="B335" s="40"/>
      <c r="C335" s="40"/>
      <c r="D335" s="40" t="s">
        <v>695</v>
      </c>
      <c r="E335" s="40"/>
      <c r="F335" s="45"/>
      <c r="G335" s="40"/>
      <c r="H335" s="46">
        <v>1</v>
      </c>
      <c r="I335" s="40" t="s">
        <v>39</v>
      </c>
      <c r="J335" s="40" t="e">
        <f>VLOOKUP(D335,BM!$B$3:$Y$58,4,FALSE)</f>
        <v>#N/A</v>
      </c>
      <c r="K335" s="40"/>
      <c r="L335" s="49" t="e">
        <f t="shared" si="56"/>
        <v>#N/A</v>
      </c>
      <c r="M335" s="40">
        <v>1</v>
      </c>
      <c r="N335" s="57" t="e">
        <f>L335+M335</f>
        <v>#N/A</v>
      </c>
    </row>
    <row r="336" spans="1:14" ht="18.75" customHeight="1">
      <c r="A336" s="40" t="s">
        <v>1081</v>
      </c>
      <c r="B336" s="40"/>
      <c r="C336" s="40"/>
      <c r="D336" s="40" t="s">
        <v>695</v>
      </c>
      <c r="E336" s="40"/>
      <c r="F336" s="45"/>
      <c r="G336" s="40"/>
      <c r="H336" s="46">
        <v>1</v>
      </c>
      <c r="I336" s="40" t="s">
        <v>39</v>
      </c>
      <c r="J336" s="40" t="e">
        <f>VLOOKUP(D336,BM!$B$3:$Y$58,4,FALSE)</f>
        <v>#N/A</v>
      </c>
      <c r="K336" s="40"/>
      <c r="L336" s="49" t="e">
        <f t="shared" si="56"/>
        <v>#N/A</v>
      </c>
      <c r="M336" s="40">
        <v>1</v>
      </c>
      <c r="N336" s="57" t="e">
        <f>L336+M336</f>
        <v>#N/A</v>
      </c>
    </row>
    <row r="337" spans="1:14" ht="18.75" customHeight="1">
      <c r="H337" s="47"/>
      <c r="I337" s="47"/>
      <c r="J337" s="48"/>
      <c r="K337" s="48"/>
      <c r="L337" s="48"/>
      <c r="M337" s="48"/>
      <c r="N337" s="48"/>
    </row>
    <row r="338" spans="1:14" ht="18.75" customHeight="1">
      <c r="A338" s="40" t="s">
        <v>1082</v>
      </c>
      <c r="B338" s="40"/>
      <c r="C338" s="40"/>
      <c r="D338" s="40" t="s">
        <v>695</v>
      </c>
      <c r="E338" s="40"/>
      <c r="F338" s="45"/>
      <c r="G338" s="40"/>
      <c r="H338" s="46">
        <v>1</v>
      </c>
      <c r="I338" s="40"/>
      <c r="J338" s="40" t="e">
        <f>VLOOKUP(D338,BM!$B$3:$Y$58,5,FALSE)</f>
        <v>#N/A</v>
      </c>
      <c r="K338" s="40"/>
      <c r="L338" s="49" t="e">
        <f t="shared" si="56"/>
        <v>#N/A</v>
      </c>
      <c r="M338" s="40">
        <v>1</v>
      </c>
      <c r="N338" s="57" t="e">
        <f>L338+M338</f>
        <v>#N/A</v>
      </c>
    </row>
    <row r="339" spans="1:14" ht="18.75" customHeight="1">
      <c r="A339" s="40" t="s">
        <v>1082</v>
      </c>
      <c r="B339" s="40"/>
      <c r="C339" s="40"/>
      <c r="D339" s="40" t="s">
        <v>695</v>
      </c>
      <c r="E339" s="40"/>
      <c r="F339" s="45"/>
      <c r="G339" s="40"/>
      <c r="H339" s="46">
        <v>1</v>
      </c>
      <c r="I339" s="40"/>
      <c r="J339" s="40" t="e">
        <f>VLOOKUP(D339,BM!$B$3:$Y$58,5,FALSE)</f>
        <v>#N/A</v>
      </c>
      <c r="K339" s="40"/>
      <c r="L339" s="49" t="e">
        <f t="shared" si="56"/>
        <v>#N/A</v>
      </c>
      <c r="M339" s="40">
        <v>1</v>
      </c>
      <c r="N339" s="57" t="e">
        <f>L339+M339</f>
        <v>#N/A</v>
      </c>
    </row>
    <row r="340" spans="1:14" ht="18.75" customHeight="1">
      <c r="H340" s="47"/>
      <c r="I340" s="47"/>
      <c r="J340" s="48"/>
      <c r="K340" s="48"/>
      <c r="L340" s="48"/>
      <c r="M340" s="48"/>
      <c r="N340" s="48"/>
    </row>
    <row r="341" spans="1:14" ht="18.75" customHeight="1">
      <c r="A341" s="37" t="s">
        <v>850</v>
      </c>
      <c r="B341" s="38" t="s">
        <v>851</v>
      </c>
      <c r="C341" s="38"/>
      <c r="D341" s="39" t="s">
        <v>2</v>
      </c>
      <c r="E341" s="39" t="s">
        <v>1083</v>
      </c>
      <c r="F341" s="39" t="s">
        <v>1084</v>
      </c>
      <c r="G341" s="39" t="s">
        <v>4</v>
      </c>
      <c r="H341" s="39" t="s">
        <v>854</v>
      </c>
      <c r="I341" s="39" t="s">
        <v>5</v>
      </c>
      <c r="J341" s="39" t="s">
        <v>855</v>
      </c>
      <c r="K341" s="39" t="s">
        <v>5</v>
      </c>
      <c r="L341" s="39" t="s">
        <v>854</v>
      </c>
      <c r="M341" s="39" t="s">
        <v>856</v>
      </c>
      <c r="N341" s="39" t="s">
        <v>857</v>
      </c>
    </row>
    <row r="342" spans="1:14" ht="18.75" customHeight="1">
      <c r="A342" s="40" t="s">
        <v>1085</v>
      </c>
      <c r="B342" s="40"/>
      <c r="C342" s="40"/>
      <c r="D342" s="63">
        <v>16</v>
      </c>
      <c r="E342" s="63" t="s">
        <v>695</v>
      </c>
      <c r="F342" s="64">
        <f>16*25.4</f>
        <v>406.4</v>
      </c>
      <c r="G342" s="63">
        <v>1</v>
      </c>
      <c r="H342" s="46">
        <f>F342*3.142*0.001*G342</f>
        <v>1.2769088</v>
      </c>
      <c r="I342" s="40"/>
      <c r="J342" s="40">
        <f>VLOOKUP(D342,BM!$B$3:$Y$58,17,FALSE)</f>
        <v>4.0199999999999996</v>
      </c>
      <c r="K342" s="40"/>
      <c r="L342" s="49">
        <f t="shared" si="56"/>
        <v>5.1331733759999993</v>
      </c>
      <c r="M342" s="40">
        <v>1</v>
      </c>
      <c r="N342" s="57">
        <f>L342+M342</f>
        <v>6.1331733759999993</v>
      </c>
    </row>
    <row r="343" spans="1:14" ht="18.75" customHeight="1">
      <c r="A343" s="40" t="s">
        <v>1085</v>
      </c>
      <c r="B343" s="40"/>
      <c r="C343" s="40"/>
      <c r="D343" s="63">
        <v>16</v>
      </c>
      <c r="E343" s="63" t="s">
        <v>695</v>
      </c>
      <c r="F343" s="64">
        <v>406.4</v>
      </c>
      <c r="G343" s="63">
        <v>1</v>
      </c>
      <c r="H343" s="46">
        <f>F343*3.142*0.001*G343</f>
        <v>1.2769088</v>
      </c>
      <c r="I343" s="40"/>
      <c r="J343" s="40">
        <f>VLOOKUP(D343,BM!$B$3:$Y$58,17,FALSE)</f>
        <v>4.0199999999999996</v>
      </c>
      <c r="K343" s="40"/>
      <c r="L343" s="49">
        <f t="shared" si="56"/>
        <v>5.1331733759999993</v>
      </c>
      <c r="M343" s="40">
        <v>1</v>
      </c>
      <c r="N343" s="57">
        <f>L343+M343</f>
        <v>6.1331733759999993</v>
      </c>
    </row>
    <row r="344" spans="1:14" ht="18.75" customHeight="1">
      <c r="H344" s="47"/>
      <c r="I344" s="47"/>
      <c r="J344" s="48"/>
      <c r="K344" s="48"/>
      <c r="L344" s="48"/>
      <c r="M344" s="48"/>
      <c r="N344" s="48"/>
    </row>
    <row r="345" spans="1:14" ht="18.75" customHeight="1">
      <c r="A345" s="37" t="s">
        <v>850</v>
      </c>
      <c r="B345" s="38" t="s">
        <v>851</v>
      </c>
      <c r="C345" s="38"/>
      <c r="D345" s="39" t="s">
        <v>2</v>
      </c>
      <c r="E345" s="39" t="s">
        <v>1083</v>
      </c>
      <c r="F345" s="39" t="s">
        <v>1084</v>
      </c>
      <c r="G345" s="39" t="s">
        <v>4</v>
      </c>
      <c r="H345" s="39" t="s">
        <v>854</v>
      </c>
      <c r="I345" s="39" t="s">
        <v>5</v>
      </c>
      <c r="J345" s="39" t="s">
        <v>855</v>
      </c>
      <c r="K345" s="39" t="s">
        <v>5</v>
      </c>
      <c r="L345" s="39" t="s">
        <v>854</v>
      </c>
      <c r="M345" s="39" t="s">
        <v>856</v>
      </c>
      <c r="N345" s="39" t="s">
        <v>857</v>
      </c>
    </row>
    <row r="346" spans="1:14" ht="18.75" customHeight="1">
      <c r="A346" s="40" t="s">
        <v>1086</v>
      </c>
      <c r="B346" s="40"/>
      <c r="C346" s="40"/>
      <c r="D346" s="63">
        <v>16</v>
      </c>
      <c r="E346" s="63" t="s">
        <v>695</v>
      </c>
      <c r="F346" s="64">
        <f>16*25.4</f>
        <v>406.4</v>
      </c>
      <c r="G346" s="63">
        <v>1</v>
      </c>
      <c r="H346" s="46">
        <f>F346*3.142*0.001*G346</f>
        <v>1.2769088</v>
      </c>
      <c r="I346" s="40"/>
      <c r="J346" s="40">
        <f>VLOOKUP(D346,BM!$B$3:$Y$58,20,FALSE)</f>
        <v>0.5</v>
      </c>
      <c r="K346" s="40"/>
      <c r="L346" s="49">
        <f t="shared" ref="L346:L347" si="57">H346*J346</f>
        <v>0.63845439999999998</v>
      </c>
      <c r="M346" s="40">
        <v>1</v>
      </c>
      <c r="N346" s="57">
        <f>L346+M346</f>
        <v>1.6384544000000001</v>
      </c>
    </row>
    <row r="347" spans="1:14" ht="18.75" customHeight="1">
      <c r="A347" s="40" t="s">
        <v>1086</v>
      </c>
      <c r="B347" s="40"/>
      <c r="C347" s="40"/>
      <c r="D347" s="63">
        <v>16</v>
      </c>
      <c r="E347" s="63" t="s">
        <v>695</v>
      </c>
      <c r="F347" s="64">
        <v>406.4</v>
      </c>
      <c r="G347" s="63">
        <v>1</v>
      </c>
      <c r="H347" s="46">
        <f>F347*3.142*0.001*G347</f>
        <v>1.2769088</v>
      </c>
      <c r="I347" s="40"/>
      <c r="J347" s="40">
        <f>VLOOKUP(D347,BM!$B$3:$Y$58,20,FALSE)</f>
        <v>0.5</v>
      </c>
      <c r="K347" s="40"/>
      <c r="L347" s="49">
        <f t="shared" si="57"/>
        <v>0.63845439999999998</v>
      </c>
      <c r="M347" s="40">
        <v>1</v>
      </c>
      <c r="N347" s="57">
        <f>L347+M347</f>
        <v>1.6384544000000001</v>
      </c>
    </row>
    <row r="348" spans="1:14" ht="18.75" customHeight="1">
      <c r="H348" s="47"/>
      <c r="I348" s="47"/>
      <c r="J348" s="48"/>
      <c r="K348" s="48"/>
      <c r="L348" s="48"/>
      <c r="M348" s="48"/>
      <c r="N348" s="48"/>
    </row>
    <row r="349" spans="1:14" ht="18.75" customHeight="1">
      <c r="A349" s="37" t="s">
        <v>850</v>
      </c>
      <c r="B349" s="38" t="s">
        <v>851</v>
      </c>
      <c r="C349" s="38"/>
      <c r="D349" s="39" t="s">
        <v>2</v>
      </c>
      <c r="E349" s="39" t="s">
        <v>1083</v>
      </c>
      <c r="F349" s="39" t="s">
        <v>1084</v>
      </c>
      <c r="G349" s="39" t="s">
        <v>4</v>
      </c>
      <c r="H349" s="39" t="s">
        <v>854</v>
      </c>
      <c r="I349" s="39" t="s">
        <v>5</v>
      </c>
      <c r="J349" s="39" t="s">
        <v>855</v>
      </c>
      <c r="K349" s="39" t="s">
        <v>5</v>
      </c>
      <c r="L349" s="39" t="s">
        <v>854</v>
      </c>
      <c r="M349" s="39" t="s">
        <v>856</v>
      </c>
      <c r="N349" s="39" t="s">
        <v>857</v>
      </c>
    </row>
    <row r="350" spans="1:14" ht="18.75" customHeight="1">
      <c r="A350" s="40" t="s">
        <v>1087</v>
      </c>
      <c r="B350" s="40"/>
      <c r="C350" s="40"/>
      <c r="D350" s="63" t="s">
        <v>695</v>
      </c>
      <c r="E350" s="40"/>
      <c r="F350" s="45"/>
      <c r="G350" s="63">
        <v>1</v>
      </c>
      <c r="H350" s="66">
        <v>1</v>
      </c>
      <c r="I350" s="40"/>
      <c r="J350" s="40" t="e">
        <f>VLOOKUP(D350,BM!$B$3:$Y$58,8,FALSE)</f>
        <v>#N/A</v>
      </c>
      <c r="K350" s="40"/>
      <c r="L350" s="49" t="e">
        <f t="shared" ref="L350" si="58">H350*J350</f>
        <v>#N/A</v>
      </c>
      <c r="M350" s="40">
        <v>1</v>
      </c>
      <c r="N350" s="57" t="e">
        <f>L350+M350</f>
        <v>#N/A</v>
      </c>
    </row>
    <row r="351" spans="1:14" ht="18.75" customHeight="1">
      <c r="A351" s="40" t="s">
        <v>1087</v>
      </c>
      <c r="B351" s="40"/>
      <c r="C351" s="40"/>
      <c r="D351" s="63" t="s">
        <v>695</v>
      </c>
      <c r="E351" s="40"/>
      <c r="F351" s="45"/>
      <c r="G351" s="63">
        <v>1</v>
      </c>
      <c r="H351" s="66">
        <v>1</v>
      </c>
      <c r="I351" s="40"/>
      <c r="J351" s="40" t="e">
        <f>VLOOKUP(D351,BM!$B$3:$Y$58,8,FALSE)</f>
        <v>#N/A</v>
      </c>
      <c r="K351" s="40"/>
      <c r="L351" s="49" t="e">
        <f t="shared" si="56"/>
        <v>#N/A</v>
      </c>
      <c r="M351" s="40">
        <v>1</v>
      </c>
      <c r="N351" s="57" t="e">
        <f>L351+M351</f>
        <v>#N/A</v>
      </c>
    </row>
    <row r="352" spans="1:14" ht="18.75" customHeight="1">
      <c r="H352" s="47"/>
      <c r="I352" s="47"/>
      <c r="J352" s="48"/>
      <c r="K352" s="48"/>
      <c r="L352" s="48"/>
      <c r="M352" s="48"/>
      <c r="N352" s="48"/>
    </row>
    <row r="353" spans="1:14" ht="18.75" customHeight="1">
      <c r="A353" s="37" t="s">
        <v>850</v>
      </c>
      <c r="B353" s="38" t="s">
        <v>851</v>
      </c>
      <c r="C353" s="38"/>
      <c r="D353" s="39" t="s">
        <v>2</v>
      </c>
      <c r="E353" s="39" t="s">
        <v>1083</v>
      </c>
      <c r="F353" s="39" t="s">
        <v>1084</v>
      </c>
      <c r="G353" s="39" t="s">
        <v>4</v>
      </c>
      <c r="H353" s="39" t="s">
        <v>854</v>
      </c>
      <c r="I353" s="39" t="s">
        <v>5</v>
      </c>
      <c r="J353" s="39" t="s">
        <v>855</v>
      </c>
      <c r="K353" s="39" t="s">
        <v>5</v>
      </c>
      <c r="L353" s="39" t="s">
        <v>854</v>
      </c>
      <c r="M353" s="39" t="s">
        <v>856</v>
      </c>
      <c r="N353" s="39" t="s">
        <v>857</v>
      </c>
    </row>
    <row r="354" spans="1:14" ht="18.75" customHeight="1">
      <c r="A354" s="40" t="s">
        <v>1088</v>
      </c>
      <c r="B354" s="40"/>
      <c r="C354" s="40"/>
      <c r="D354" s="63" t="s">
        <v>695</v>
      </c>
      <c r="E354" s="40"/>
      <c r="F354" s="45"/>
      <c r="G354" s="63">
        <v>1</v>
      </c>
      <c r="H354" s="66">
        <v>1</v>
      </c>
      <c r="I354" s="40"/>
      <c r="J354" s="40" t="e">
        <f>VLOOKUP(D354,BM!$B$3:$Y$58,8,FALSE)</f>
        <v>#N/A</v>
      </c>
      <c r="K354" s="40"/>
      <c r="L354" s="49" t="e">
        <f t="shared" ref="L354:L355" si="59">H354*J354</f>
        <v>#N/A</v>
      </c>
      <c r="M354" s="40">
        <v>1</v>
      </c>
      <c r="N354" s="57" t="e">
        <f>L354+M354</f>
        <v>#N/A</v>
      </c>
    </row>
    <row r="355" spans="1:14" ht="18.75" customHeight="1">
      <c r="A355" s="40" t="s">
        <v>1088</v>
      </c>
      <c r="B355" s="40"/>
      <c r="C355" s="40"/>
      <c r="D355" s="63" t="s">
        <v>695</v>
      </c>
      <c r="E355" s="40"/>
      <c r="F355" s="45"/>
      <c r="G355" s="63">
        <v>1</v>
      </c>
      <c r="H355" s="66">
        <v>1</v>
      </c>
      <c r="I355" s="40"/>
      <c r="J355" s="40" t="e">
        <f>VLOOKUP(D355,BM!$B$3:$Y$58,8,FALSE)</f>
        <v>#N/A</v>
      </c>
      <c r="K355" s="40"/>
      <c r="L355" s="49" t="e">
        <f t="shared" si="59"/>
        <v>#N/A</v>
      </c>
      <c r="M355" s="40">
        <v>1</v>
      </c>
      <c r="N355" s="57" t="e">
        <f>L355+M355</f>
        <v>#N/A</v>
      </c>
    </row>
    <row r="356" spans="1:14" ht="18.75" customHeight="1">
      <c r="H356" s="47"/>
      <c r="I356" s="47"/>
      <c r="J356" s="48"/>
      <c r="K356" s="48"/>
      <c r="L356" s="48"/>
      <c r="M356" s="48"/>
      <c r="N356" s="48"/>
    </row>
    <row r="357" spans="1:14" ht="18.75" customHeight="1">
      <c r="A357" s="37" t="s">
        <v>850</v>
      </c>
      <c r="B357" s="38" t="s">
        <v>851</v>
      </c>
      <c r="C357" s="38"/>
      <c r="D357" s="39" t="s">
        <v>2</v>
      </c>
      <c r="E357" s="39" t="s">
        <v>1083</v>
      </c>
      <c r="F357" s="39" t="s">
        <v>1084</v>
      </c>
      <c r="G357" s="39" t="s">
        <v>4</v>
      </c>
      <c r="H357" s="39" t="s">
        <v>854</v>
      </c>
      <c r="I357" s="39" t="s">
        <v>5</v>
      </c>
      <c r="J357" s="39" t="s">
        <v>855</v>
      </c>
      <c r="K357" s="39" t="s">
        <v>5</v>
      </c>
      <c r="L357" s="39" t="s">
        <v>854</v>
      </c>
      <c r="M357" s="39" t="s">
        <v>856</v>
      </c>
      <c r="N357" s="39" t="s">
        <v>857</v>
      </c>
    </row>
    <row r="358" spans="1:14" ht="18.75" customHeight="1">
      <c r="A358" s="40" t="s">
        <v>1089</v>
      </c>
      <c r="B358" s="40"/>
      <c r="C358" s="40"/>
      <c r="D358" s="63" t="s">
        <v>695</v>
      </c>
      <c r="E358" s="40"/>
      <c r="F358" s="45"/>
      <c r="G358" s="63">
        <v>1</v>
      </c>
      <c r="H358" s="66">
        <v>1</v>
      </c>
      <c r="I358" s="40"/>
      <c r="J358" s="40" t="e">
        <f>VLOOKUP(D358,BM!$B$3:$Y$58,8,FALSE)</f>
        <v>#N/A</v>
      </c>
      <c r="K358" s="40"/>
      <c r="L358" s="49" t="e">
        <f t="shared" ref="L358:L359" si="60">H358*J358</f>
        <v>#N/A</v>
      </c>
      <c r="M358" s="40">
        <v>1</v>
      </c>
      <c r="N358" s="57" t="e">
        <f>L358+M358</f>
        <v>#N/A</v>
      </c>
    </row>
    <row r="359" spans="1:14" ht="18.75" customHeight="1">
      <c r="A359" s="40" t="s">
        <v>1089</v>
      </c>
      <c r="B359" s="40"/>
      <c r="C359" s="40"/>
      <c r="D359" s="63" t="s">
        <v>695</v>
      </c>
      <c r="E359" s="40"/>
      <c r="F359" s="45"/>
      <c r="G359" s="63">
        <v>1</v>
      </c>
      <c r="H359" s="66">
        <v>1</v>
      </c>
      <c r="I359" s="40"/>
      <c r="J359" s="40" t="e">
        <f>VLOOKUP(D359,BM!$B$3:$Y$58,8,FALSE)</f>
        <v>#N/A</v>
      </c>
      <c r="K359" s="40"/>
      <c r="L359" s="49" t="e">
        <f t="shared" si="60"/>
        <v>#N/A</v>
      </c>
      <c r="M359" s="40">
        <v>1</v>
      </c>
      <c r="N359" s="57" t="e">
        <f>L359+M359</f>
        <v>#N/A</v>
      </c>
    </row>
    <row r="360" spans="1:14" ht="18.75" customHeight="1">
      <c r="H360" s="47"/>
      <c r="I360" s="47"/>
      <c r="J360" s="48"/>
      <c r="K360" s="48"/>
      <c r="L360" s="48"/>
      <c r="M360" s="48"/>
      <c r="N360" s="48"/>
    </row>
    <row r="361" spans="1:14" ht="18.75" customHeight="1">
      <c r="A361" s="37" t="s">
        <v>850</v>
      </c>
      <c r="B361" s="38" t="s">
        <v>851</v>
      </c>
      <c r="C361" s="38"/>
      <c r="D361" s="39" t="s">
        <v>1090</v>
      </c>
      <c r="E361" s="39" t="s">
        <v>1083</v>
      </c>
      <c r="F361" s="39" t="s">
        <v>1084</v>
      </c>
      <c r="G361" s="39" t="s">
        <v>4</v>
      </c>
      <c r="H361" s="39" t="s">
        <v>854</v>
      </c>
      <c r="I361" s="39" t="s">
        <v>5</v>
      </c>
      <c r="J361" s="39" t="s">
        <v>855</v>
      </c>
      <c r="K361" s="39" t="s">
        <v>5</v>
      </c>
      <c r="L361" s="39" t="s">
        <v>854</v>
      </c>
      <c r="M361" s="39" t="s">
        <v>856</v>
      </c>
      <c r="N361" s="39" t="s">
        <v>857</v>
      </c>
    </row>
    <row r="362" spans="1:14" ht="18.75" customHeight="1">
      <c r="A362" s="40" t="s">
        <v>828</v>
      </c>
      <c r="B362" s="40"/>
      <c r="C362" s="40"/>
      <c r="D362" s="40" t="s">
        <v>695</v>
      </c>
      <c r="E362" s="40"/>
      <c r="F362" s="45"/>
      <c r="G362" s="63">
        <v>1</v>
      </c>
      <c r="H362" s="66">
        <v>1</v>
      </c>
      <c r="I362" s="40" t="s">
        <v>564</v>
      </c>
      <c r="J362" s="40" t="e">
        <f>VLOOKUP(D362,BM!$B$3:$Y$58,18,FALSE)</f>
        <v>#N/A</v>
      </c>
      <c r="K362" s="40"/>
      <c r="L362" s="49" t="e">
        <f t="shared" si="56"/>
        <v>#N/A</v>
      </c>
      <c r="M362" s="40">
        <v>1</v>
      </c>
      <c r="N362" s="57" t="e">
        <f>L362+M362</f>
        <v>#N/A</v>
      </c>
    </row>
    <row r="363" spans="1:14" ht="18.75" customHeight="1">
      <c r="A363" s="40" t="s">
        <v>828</v>
      </c>
      <c r="B363" s="40"/>
      <c r="C363" s="40"/>
      <c r="D363" s="40" t="s">
        <v>695</v>
      </c>
      <c r="E363" s="40"/>
      <c r="F363" s="45"/>
      <c r="G363" s="63">
        <v>1</v>
      </c>
      <c r="H363" s="66">
        <v>1</v>
      </c>
      <c r="I363" s="40" t="s">
        <v>564</v>
      </c>
      <c r="J363" s="40" t="e">
        <f>VLOOKUP(D363,BM!$B$3:$Y$58,18,FALSE)</f>
        <v>#N/A</v>
      </c>
      <c r="K363" s="40"/>
      <c r="L363" s="49" t="e">
        <f t="shared" si="56"/>
        <v>#N/A</v>
      </c>
      <c r="M363" s="40">
        <v>1</v>
      </c>
      <c r="N363" s="57" t="e">
        <f>L363+M363</f>
        <v>#N/A</v>
      </c>
    </row>
    <row r="364" spans="1:14" ht="18.75" customHeight="1">
      <c r="H364" s="47"/>
      <c r="I364" s="47"/>
      <c r="J364" s="48"/>
      <c r="K364" s="48"/>
      <c r="L364" s="48"/>
      <c r="M364" s="48"/>
      <c r="N364" s="48"/>
    </row>
    <row r="365" spans="1:14" ht="18.75" customHeight="1">
      <c r="A365" s="37" t="s">
        <v>850</v>
      </c>
      <c r="B365" s="38" t="s">
        <v>851</v>
      </c>
      <c r="C365" s="38"/>
      <c r="D365" s="39" t="s">
        <v>2</v>
      </c>
      <c r="E365" s="39" t="s">
        <v>1083</v>
      </c>
      <c r="F365" s="39" t="s">
        <v>1084</v>
      </c>
      <c r="G365" s="39" t="s">
        <v>4</v>
      </c>
      <c r="H365" s="39" t="s">
        <v>854</v>
      </c>
      <c r="I365" s="39" t="s">
        <v>5</v>
      </c>
      <c r="J365" s="39" t="s">
        <v>855</v>
      </c>
      <c r="K365" s="39" t="s">
        <v>5</v>
      </c>
      <c r="L365" s="39" t="s">
        <v>854</v>
      </c>
      <c r="M365" s="39" t="s">
        <v>856</v>
      </c>
      <c r="N365" s="39" t="s">
        <v>857</v>
      </c>
    </row>
    <row r="366" spans="1:14" ht="18.75" customHeight="1">
      <c r="A366" s="40" t="s">
        <v>822</v>
      </c>
      <c r="B366" s="40"/>
      <c r="C366" s="40"/>
      <c r="D366" s="40" t="s">
        <v>695</v>
      </c>
      <c r="E366" s="40"/>
      <c r="F366" s="45"/>
      <c r="G366" s="63">
        <v>1</v>
      </c>
      <c r="H366" s="66">
        <v>1</v>
      </c>
      <c r="I366" s="40" t="s">
        <v>564</v>
      </c>
      <c r="J366" s="40" t="e">
        <f>VLOOKUP(D366,BM!$B$3:$Y$58,12,FALSE)</f>
        <v>#N/A</v>
      </c>
      <c r="K366" s="40"/>
      <c r="L366" s="49" t="e">
        <f t="shared" ref="L366:L367" si="61">H366*J366</f>
        <v>#N/A</v>
      </c>
      <c r="M366" s="40">
        <v>1</v>
      </c>
      <c r="N366" s="57" t="e">
        <f>L366+M366</f>
        <v>#N/A</v>
      </c>
    </row>
    <row r="367" spans="1:14" ht="18.75" customHeight="1">
      <c r="A367" s="40" t="s">
        <v>822</v>
      </c>
      <c r="B367" s="40"/>
      <c r="C367" s="40"/>
      <c r="D367" s="40" t="s">
        <v>695</v>
      </c>
      <c r="E367" s="40"/>
      <c r="F367" s="45"/>
      <c r="G367" s="63">
        <v>1</v>
      </c>
      <c r="H367" s="66">
        <v>1</v>
      </c>
      <c r="I367" s="40" t="s">
        <v>564</v>
      </c>
      <c r="J367" s="40" t="e">
        <f>VLOOKUP(D367,BM!$B$3:$Y$58,12,FALSE)</f>
        <v>#N/A</v>
      </c>
      <c r="K367" s="40"/>
      <c r="L367" s="49" t="e">
        <f t="shared" si="61"/>
        <v>#N/A</v>
      </c>
      <c r="M367" s="40">
        <v>1</v>
      </c>
      <c r="N367" s="57" t="e">
        <f>L367+M367</f>
        <v>#N/A</v>
      </c>
    </row>
    <row r="368" spans="1:14" ht="18.75" customHeight="1">
      <c r="H368" s="47"/>
      <c r="I368" s="47"/>
      <c r="J368" s="48"/>
      <c r="K368" s="48"/>
      <c r="L368" s="48"/>
      <c r="M368" s="48"/>
      <c r="N368" s="48"/>
    </row>
    <row r="369" spans="1:14" ht="18.75" customHeight="1">
      <c r="A369" s="37" t="s">
        <v>850</v>
      </c>
      <c r="B369" s="38" t="s">
        <v>851</v>
      </c>
      <c r="C369" s="38"/>
      <c r="D369" s="39" t="s">
        <v>2</v>
      </c>
      <c r="E369" s="39" t="s">
        <v>1083</v>
      </c>
      <c r="F369" s="39" t="s">
        <v>1084</v>
      </c>
      <c r="G369" s="39" t="s">
        <v>4</v>
      </c>
      <c r="H369" s="39" t="s">
        <v>854</v>
      </c>
      <c r="I369" s="39" t="s">
        <v>5</v>
      </c>
      <c r="J369" s="39" t="s">
        <v>855</v>
      </c>
      <c r="K369" s="39" t="s">
        <v>5</v>
      </c>
      <c r="L369" s="39" t="s">
        <v>854</v>
      </c>
      <c r="M369" s="39" t="s">
        <v>856</v>
      </c>
      <c r="N369" s="39" t="s">
        <v>857</v>
      </c>
    </row>
    <row r="370" spans="1:14" ht="18.75" customHeight="1">
      <c r="A370" s="40" t="s">
        <v>1091</v>
      </c>
      <c r="B370" s="40"/>
      <c r="C370" s="40"/>
      <c r="D370" s="40" t="s">
        <v>695</v>
      </c>
      <c r="E370" s="40"/>
      <c r="F370" s="45"/>
      <c r="G370" s="63">
        <v>1</v>
      </c>
      <c r="H370" s="66">
        <v>1</v>
      </c>
      <c r="I370" s="40" t="s">
        <v>564</v>
      </c>
      <c r="J370" s="40" t="e">
        <f>VLOOKUP(D370,BM!$B$3:$Y$58,13,FALSE)</f>
        <v>#N/A</v>
      </c>
      <c r="K370" s="40"/>
      <c r="L370" s="49" t="e">
        <f t="shared" ref="L370:L371" si="62">H370*J370</f>
        <v>#N/A</v>
      </c>
      <c r="M370" s="40">
        <v>1</v>
      </c>
      <c r="N370" s="57" t="e">
        <f>L370+M370</f>
        <v>#N/A</v>
      </c>
    </row>
    <row r="371" spans="1:14" ht="18.75" customHeight="1">
      <c r="A371" s="40" t="s">
        <v>1091</v>
      </c>
      <c r="B371" s="40"/>
      <c r="C371" s="40"/>
      <c r="D371" s="40" t="s">
        <v>695</v>
      </c>
      <c r="E371" s="40"/>
      <c r="F371" s="45"/>
      <c r="G371" s="63">
        <v>1</v>
      </c>
      <c r="H371" s="66">
        <v>1</v>
      </c>
      <c r="I371" s="40" t="s">
        <v>564</v>
      </c>
      <c r="J371" s="40" t="e">
        <f>VLOOKUP(D371,BM!$B$3:$Y$58,13,FALSE)</f>
        <v>#N/A</v>
      </c>
      <c r="K371" s="40"/>
      <c r="L371" s="49" t="e">
        <f t="shared" si="62"/>
        <v>#N/A</v>
      </c>
      <c r="M371" s="40">
        <v>1</v>
      </c>
      <c r="N371" s="57" t="e">
        <f>L371+M371</f>
        <v>#N/A</v>
      </c>
    </row>
    <row r="372" spans="1:14" ht="18.75" customHeight="1">
      <c r="H372" s="47"/>
      <c r="I372" s="47"/>
      <c r="J372" s="48"/>
      <c r="K372" s="48"/>
      <c r="L372" s="48"/>
      <c r="M372" s="48"/>
      <c r="N372" s="48"/>
    </row>
    <row r="373" spans="1:14" ht="18.75" customHeight="1">
      <c r="A373" s="37" t="s">
        <v>850</v>
      </c>
      <c r="B373" s="38" t="s">
        <v>851</v>
      </c>
      <c r="C373" s="38"/>
      <c r="D373" s="39" t="s">
        <v>2</v>
      </c>
      <c r="E373" s="39" t="s">
        <v>1083</v>
      </c>
      <c r="F373" s="39" t="s">
        <v>1084</v>
      </c>
      <c r="G373" s="39" t="s">
        <v>4</v>
      </c>
      <c r="H373" s="39" t="s">
        <v>854</v>
      </c>
      <c r="I373" s="39" t="s">
        <v>5</v>
      </c>
      <c r="J373" s="39" t="s">
        <v>855</v>
      </c>
      <c r="K373" s="39" t="s">
        <v>5</v>
      </c>
      <c r="L373" s="39" t="s">
        <v>854</v>
      </c>
      <c r="M373" s="39" t="s">
        <v>856</v>
      </c>
      <c r="N373" s="39" t="s">
        <v>857</v>
      </c>
    </row>
    <row r="374" spans="1:14" ht="18.75" customHeight="1">
      <c r="A374" s="40" t="s">
        <v>824</v>
      </c>
      <c r="B374" s="40"/>
      <c r="C374" s="40"/>
      <c r="D374" s="40" t="s">
        <v>695</v>
      </c>
      <c r="E374" s="40"/>
      <c r="F374" s="45"/>
      <c r="G374" s="63">
        <v>1</v>
      </c>
      <c r="H374" s="66">
        <v>1</v>
      </c>
      <c r="I374" s="40" t="s">
        <v>564</v>
      </c>
      <c r="J374" s="40" t="e">
        <f>VLOOKUP(D374,BM!$B$3:$Y$58,14,FALSE)</f>
        <v>#N/A</v>
      </c>
      <c r="K374" s="40"/>
      <c r="L374" s="49" t="e">
        <f t="shared" ref="L374:L375" si="63">H374*J374</f>
        <v>#N/A</v>
      </c>
      <c r="M374" s="40">
        <v>1</v>
      </c>
      <c r="N374" s="57" t="e">
        <f>L374+M374</f>
        <v>#N/A</v>
      </c>
    </row>
    <row r="375" spans="1:14" ht="18.75" customHeight="1">
      <c r="A375" s="40" t="s">
        <v>824</v>
      </c>
      <c r="B375" s="40"/>
      <c r="C375" s="40"/>
      <c r="D375" s="40" t="s">
        <v>695</v>
      </c>
      <c r="E375" s="40"/>
      <c r="F375" s="45"/>
      <c r="G375" s="63">
        <v>1</v>
      </c>
      <c r="H375" s="66">
        <v>1</v>
      </c>
      <c r="I375" s="40" t="s">
        <v>564</v>
      </c>
      <c r="J375" s="40" t="e">
        <f>VLOOKUP(D374,BM!$B$3:$Y$58,14,FALSE)</f>
        <v>#N/A</v>
      </c>
      <c r="K375" s="40"/>
      <c r="L375" s="49" t="e">
        <f t="shared" si="63"/>
        <v>#N/A</v>
      </c>
      <c r="M375" s="40">
        <v>1</v>
      </c>
      <c r="N375" s="57" t="e">
        <f>L375+M375</f>
        <v>#N/A</v>
      </c>
    </row>
    <row r="376" spans="1:14" ht="18.75" customHeight="1">
      <c r="H376" s="47"/>
      <c r="I376" s="47"/>
      <c r="J376" s="48"/>
      <c r="K376" s="48"/>
      <c r="L376" s="48"/>
      <c r="M376" s="48"/>
      <c r="N376" s="48"/>
    </row>
    <row r="377" spans="1:14" ht="18.75" customHeight="1">
      <c r="A377" s="37" t="s">
        <v>850</v>
      </c>
      <c r="B377" s="38" t="s">
        <v>851</v>
      </c>
      <c r="C377" s="38"/>
      <c r="D377" s="39" t="s">
        <v>2</v>
      </c>
      <c r="E377" s="39" t="s">
        <v>1092</v>
      </c>
      <c r="F377" s="39" t="s">
        <v>1093</v>
      </c>
      <c r="G377" s="39" t="s">
        <v>4</v>
      </c>
      <c r="H377" s="39" t="s">
        <v>854</v>
      </c>
      <c r="I377" s="39" t="s">
        <v>5</v>
      </c>
      <c r="J377" s="39" t="s">
        <v>855</v>
      </c>
      <c r="K377" s="39" t="s">
        <v>5</v>
      </c>
      <c r="L377" s="39" t="s">
        <v>854</v>
      </c>
      <c r="M377" s="39" t="s">
        <v>856</v>
      </c>
      <c r="N377" s="39" t="s">
        <v>857</v>
      </c>
    </row>
    <row r="378" spans="1:14" ht="18.75" customHeight="1">
      <c r="A378" s="40" t="s">
        <v>1094</v>
      </c>
      <c r="B378" s="40" t="s">
        <v>859</v>
      </c>
      <c r="C378" s="40"/>
      <c r="D378" s="40">
        <v>25</v>
      </c>
      <c r="E378" s="40">
        <v>320</v>
      </c>
      <c r="F378" s="45">
        <v>1736</v>
      </c>
      <c r="G378" s="40">
        <v>0</v>
      </c>
      <c r="H378" s="46">
        <f t="shared" ref="H378:H383" si="64">(E378*2*0.001+F378*2*0.001)*G378</f>
        <v>0</v>
      </c>
      <c r="I378" s="40"/>
      <c r="J378" s="40">
        <f>VLOOKUP(D378,BM!$B$3:$Y$58,2,FALSE)</f>
        <v>0.1</v>
      </c>
      <c r="K378" s="40"/>
      <c r="L378" s="49">
        <f t="shared" ref="L378:L391" si="65">H378*J378</f>
        <v>0</v>
      </c>
      <c r="M378" s="40">
        <v>1</v>
      </c>
      <c r="N378" s="57">
        <f t="shared" ref="N378:N383" si="66">L378+M378</f>
        <v>1</v>
      </c>
    </row>
    <row r="379" spans="1:14" ht="18.75" customHeight="1">
      <c r="A379" s="40" t="s">
        <v>1095</v>
      </c>
      <c r="B379" s="40" t="s">
        <v>859</v>
      </c>
      <c r="C379" s="40"/>
      <c r="D379" s="40">
        <v>25</v>
      </c>
      <c r="E379" s="40">
        <v>320</v>
      </c>
      <c r="F379" s="45">
        <v>4904</v>
      </c>
      <c r="G379" s="40">
        <v>2</v>
      </c>
      <c r="H379" s="46">
        <f t="shared" si="64"/>
        <v>20.896000000000001</v>
      </c>
      <c r="I379" s="40"/>
      <c r="J379" s="40">
        <f>VLOOKUP(D379,BM!$B$3:$Y$58,2,FALSE)</f>
        <v>0.1</v>
      </c>
      <c r="K379" s="40"/>
      <c r="L379" s="49">
        <f t="shared" si="65"/>
        <v>2.0896000000000003</v>
      </c>
      <c r="M379" s="40">
        <v>1</v>
      </c>
      <c r="N379" s="57">
        <f t="shared" si="66"/>
        <v>3.0896000000000003</v>
      </c>
    </row>
    <row r="380" spans="1:14" ht="18.75" customHeight="1">
      <c r="A380" s="40" t="s">
        <v>1096</v>
      </c>
      <c r="B380" s="40" t="s">
        <v>859</v>
      </c>
      <c r="C380" s="40"/>
      <c r="D380" s="40">
        <v>30</v>
      </c>
      <c r="E380" s="40">
        <v>320</v>
      </c>
      <c r="F380" s="45">
        <v>1890</v>
      </c>
      <c r="G380" s="40">
        <v>0</v>
      </c>
      <c r="H380" s="46">
        <f t="shared" si="64"/>
        <v>0</v>
      </c>
      <c r="I380" s="40"/>
      <c r="J380" s="40">
        <f>VLOOKUP(D380,BM!$B$3:$Y$58,2,FALSE)</f>
        <v>0.1</v>
      </c>
      <c r="K380" s="40"/>
      <c r="L380" s="49">
        <f t="shared" si="65"/>
        <v>0</v>
      </c>
      <c r="M380" s="40">
        <v>1</v>
      </c>
      <c r="N380" s="57">
        <f t="shared" si="66"/>
        <v>1</v>
      </c>
    </row>
    <row r="381" spans="1:14" ht="18.75" customHeight="1">
      <c r="A381" s="40" t="s">
        <v>1097</v>
      </c>
      <c r="B381" s="40" t="s">
        <v>859</v>
      </c>
      <c r="C381" s="40"/>
      <c r="D381" s="40">
        <v>30</v>
      </c>
      <c r="E381" s="40">
        <v>320</v>
      </c>
      <c r="F381" s="45">
        <v>1890</v>
      </c>
      <c r="G381" s="40">
        <v>4</v>
      </c>
      <c r="H381" s="46">
        <f t="shared" si="64"/>
        <v>17.68</v>
      </c>
      <c r="I381" s="40"/>
      <c r="J381" s="40">
        <f>VLOOKUP(D381,BM!$B$3:$Y$58,2,FALSE)</f>
        <v>0.1</v>
      </c>
      <c r="K381" s="40"/>
      <c r="L381" s="49">
        <f t="shared" si="65"/>
        <v>1.768</v>
      </c>
      <c r="M381" s="40">
        <v>1</v>
      </c>
      <c r="N381" s="57">
        <f t="shared" si="66"/>
        <v>2.7679999999999998</v>
      </c>
    </row>
    <row r="382" spans="1:14" ht="18.75" customHeight="1">
      <c r="A382" s="40" t="s">
        <v>1098</v>
      </c>
      <c r="B382" s="40" t="s">
        <v>859</v>
      </c>
      <c r="C382" s="40"/>
      <c r="D382" s="40">
        <v>25</v>
      </c>
      <c r="E382" s="40">
        <v>2336</v>
      </c>
      <c r="F382" s="45">
        <v>1890</v>
      </c>
      <c r="G382" s="40">
        <v>0</v>
      </c>
      <c r="H382" s="46">
        <f t="shared" si="64"/>
        <v>0</v>
      </c>
      <c r="I382" s="40"/>
      <c r="J382" s="40">
        <f>VLOOKUP(D382,BM!$B$3:$Y$58,2,FALSE)</f>
        <v>0.1</v>
      </c>
      <c r="K382" s="40"/>
      <c r="L382" s="49">
        <f t="shared" si="65"/>
        <v>0</v>
      </c>
      <c r="M382" s="40">
        <v>1</v>
      </c>
      <c r="N382" s="57">
        <f t="shared" si="66"/>
        <v>1</v>
      </c>
    </row>
    <row r="383" spans="1:14" ht="18.75" customHeight="1">
      <c r="A383" s="40" t="s">
        <v>1099</v>
      </c>
      <c r="B383" s="40" t="s">
        <v>859</v>
      </c>
      <c r="C383" s="40"/>
      <c r="D383" s="40">
        <v>30</v>
      </c>
      <c r="E383" s="40">
        <v>135</v>
      </c>
      <c r="F383" s="45">
        <v>400</v>
      </c>
      <c r="G383" s="40">
        <v>16</v>
      </c>
      <c r="H383" s="46">
        <f t="shared" si="64"/>
        <v>17.12</v>
      </c>
      <c r="I383" s="40"/>
      <c r="J383" s="40">
        <f>VLOOKUP(D383,BM!$B$3:$Y$58,2,FALSE)</f>
        <v>0.1</v>
      </c>
      <c r="K383" s="40"/>
      <c r="L383" s="49">
        <f t="shared" si="65"/>
        <v>1.7120000000000002</v>
      </c>
      <c r="M383" s="40">
        <v>1</v>
      </c>
      <c r="N383" s="57">
        <f t="shared" si="66"/>
        <v>2.7120000000000002</v>
      </c>
    </row>
    <row r="384" spans="1:14" ht="18.75" customHeight="1">
      <c r="C384" s="35"/>
      <c r="D384" s="35"/>
      <c r="E384" s="35"/>
      <c r="F384" s="47"/>
      <c r="G384" s="35"/>
      <c r="H384" s="48"/>
      <c r="I384" s="35"/>
      <c r="J384" s="35"/>
      <c r="K384" s="35"/>
      <c r="L384" s="54"/>
      <c r="M384" s="35"/>
      <c r="N384" s="67">
        <f>SUM(N378:N383)</f>
        <v>11.569600000000001</v>
      </c>
    </row>
    <row r="385" spans="1:14" ht="18.75" customHeight="1">
      <c r="A385" s="37" t="s">
        <v>850</v>
      </c>
      <c r="B385" s="38" t="s">
        <v>851</v>
      </c>
      <c r="C385" s="38"/>
      <c r="D385" s="39" t="s">
        <v>2</v>
      </c>
      <c r="E385" s="39" t="s">
        <v>1083</v>
      </c>
      <c r="F385" s="39" t="s">
        <v>1084</v>
      </c>
      <c r="G385" s="39" t="s">
        <v>4</v>
      </c>
      <c r="H385" s="39" t="s">
        <v>854</v>
      </c>
      <c r="I385" s="39" t="s">
        <v>5</v>
      </c>
      <c r="J385" s="39" t="s">
        <v>855</v>
      </c>
      <c r="K385" s="39" t="s">
        <v>5</v>
      </c>
      <c r="L385" s="39" t="s">
        <v>854</v>
      </c>
      <c r="M385" s="39" t="s">
        <v>856</v>
      </c>
      <c r="N385" s="39" t="s">
        <v>857</v>
      </c>
    </row>
    <row r="386" spans="1:14" ht="18.75" customHeight="1">
      <c r="A386" s="40" t="s">
        <v>1100</v>
      </c>
      <c r="B386" s="40" t="s">
        <v>859</v>
      </c>
      <c r="C386" s="40"/>
      <c r="D386" s="40">
        <v>25</v>
      </c>
      <c r="E386" s="40">
        <v>320</v>
      </c>
      <c r="F386" s="45">
        <v>1736</v>
      </c>
      <c r="G386" s="40">
        <v>0</v>
      </c>
      <c r="H386" s="46">
        <f t="shared" ref="H386:H391" si="67">(E386*2*0.001+F386*2*0.001)*G386</f>
        <v>0</v>
      </c>
      <c r="I386" s="40"/>
      <c r="J386" s="40">
        <f>VLOOKUP(D386,BM!$B$3:$Y$58,3,FALSE)</f>
        <v>0.25</v>
      </c>
      <c r="K386" s="40"/>
      <c r="L386" s="49">
        <f t="shared" si="65"/>
        <v>0</v>
      </c>
      <c r="M386" s="40">
        <v>1</v>
      </c>
      <c r="N386" s="57">
        <f t="shared" ref="N386:N391" si="68">L386+M386</f>
        <v>1</v>
      </c>
    </row>
    <row r="387" spans="1:14" ht="18.75" customHeight="1">
      <c r="A387" s="40" t="s">
        <v>1101</v>
      </c>
      <c r="B387" s="40" t="s">
        <v>859</v>
      </c>
      <c r="C387" s="40"/>
      <c r="D387" s="40">
        <v>25</v>
      </c>
      <c r="E387" s="40">
        <v>320</v>
      </c>
      <c r="F387" s="45">
        <v>4904</v>
      </c>
      <c r="G387" s="40">
        <v>2</v>
      </c>
      <c r="H387" s="46">
        <f t="shared" si="67"/>
        <v>20.896000000000001</v>
      </c>
      <c r="I387" s="40"/>
      <c r="J387" s="40">
        <f>VLOOKUP(D387,BM!$B$3:$Y$58,3,FALSE)</f>
        <v>0.25</v>
      </c>
      <c r="K387" s="40"/>
      <c r="L387" s="49">
        <f t="shared" si="65"/>
        <v>5.2240000000000002</v>
      </c>
      <c r="M387" s="40">
        <v>1</v>
      </c>
      <c r="N387" s="57">
        <f t="shared" si="68"/>
        <v>6.2240000000000002</v>
      </c>
    </row>
    <row r="388" spans="1:14" ht="18.75" customHeight="1">
      <c r="A388" s="40" t="s">
        <v>1102</v>
      </c>
      <c r="B388" s="40" t="s">
        <v>859</v>
      </c>
      <c r="C388" s="40"/>
      <c r="D388" s="40">
        <v>30</v>
      </c>
      <c r="E388" s="40">
        <v>320</v>
      </c>
      <c r="F388" s="45">
        <v>1890</v>
      </c>
      <c r="G388" s="40">
        <v>0</v>
      </c>
      <c r="H388" s="46">
        <f t="shared" si="67"/>
        <v>0</v>
      </c>
      <c r="I388" s="40"/>
      <c r="J388" s="40">
        <f>VLOOKUP(D388,BM!$B$3:$Y$58,3,FALSE)</f>
        <v>0.25</v>
      </c>
      <c r="K388" s="40"/>
      <c r="L388" s="49">
        <f t="shared" si="65"/>
        <v>0</v>
      </c>
      <c r="M388" s="40">
        <v>1</v>
      </c>
      <c r="N388" s="57">
        <f t="shared" si="68"/>
        <v>1</v>
      </c>
    </row>
    <row r="389" spans="1:14" ht="18.75" customHeight="1">
      <c r="A389" s="40" t="s">
        <v>1103</v>
      </c>
      <c r="B389" s="40" t="s">
        <v>859</v>
      </c>
      <c r="C389" s="40"/>
      <c r="D389" s="40">
        <v>30</v>
      </c>
      <c r="E389" s="40">
        <v>320</v>
      </c>
      <c r="F389" s="45">
        <v>1890</v>
      </c>
      <c r="G389" s="40">
        <v>4</v>
      </c>
      <c r="H389" s="46">
        <f t="shared" si="67"/>
        <v>17.68</v>
      </c>
      <c r="I389" s="40"/>
      <c r="J389" s="40">
        <f>VLOOKUP(D389,BM!$B$3:$Y$58,3,FALSE)</f>
        <v>0.25</v>
      </c>
      <c r="K389" s="40"/>
      <c r="L389" s="49">
        <f t="shared" si="65"/>
        <v>4.42</v>
      </c>
      <c r="M389" s="40">
        <v>1</v>
      </c>
      <c r="N389" s="57">
        <f t="shared" si="68"/>
        <v>5.42</v>
      </c>
    </row>
    <row r="390" spans="1:14" ht="18.75" customHeight="1">
      <c r="A390" s="40" t="s">
        <v>1104</v>
      </c>
      <c r="B390" s="40" t="s">
        <v>859</v>
      </c>
      <c r="C390" s="40"/>
      <c r="D390" s="40">
        <v>25</v>
      </c>
      <c r="E390" s="40">
        <v>2336</v>
      </c>
      <c r="F390" s="45">
        <v>1890</v>
      </c>
      <c r="G390" s="40">
        <v>0</v>
      </c>
      <c r="H390" s="46">
        <f t="shared" si="67"/>
        <v>0</v>
      </c>
      <c r="I390" s="40"/>
      <c r="J390" s="40">
        <f>VLOOKUP(D390,BM!$B$3:$Y$58,3,FALSE)</f>
        <v>0.25</v>
      </c>
      <c r="K390" s="40"/>
      <c r="L390" s="49">
        <f t="shared" si="65"/>
        <v>0</v>
      </c>
      <c r="M390" s="40">
        <v>1</v>
      </c>
      <c r="N390" s="57">
        <f t="shared" si="68"/>
        <v>1</v>
      </c>
    </row>
    <row r="391" spans="1:14" ht="18.75" customHeight="1">
      <c r="A391" s="40" t="s">
        <v>1105</v>
      </c>
      <c r="B391" s="40" t="s">
        <v>859</v>
      </c>
      <c r="C391" s="40"/>
      <c r="D391" s="40">
        <v>30</v>
      </c>
      <c r="E391" s="40">
        <v>135</v>
      </c>
      <c r="F391" s="45">
        <v>400</v>
      </c>
      <c r="G391" s="40">
        <v>16</v>
      </c>
      <c r="H391" s="46">
        <f t="shared" si="67"/>
        <v>17.12</v>
      </c>
      <c r="I391" s="40"/>
      <c r="J391" s="40">
        <f>VLOOKUP(D391,BM!$B$3:$Y$58,3,FALSE)</f>
        <v>0.25</v>
      </c>
      <c r="K391" s="40"/>
      <c r="L391" s="49">
        <f t="shared" si="65"/>
        <v>4.28</v>
      </c>
      <c r="M391" s="40">
        <v>1</v>
      </c>
      <c r="N391" s="57">
        <f t="shared" si="68"/>
        <v>5.28</v>
      </c>
    </row>
    <row r="392" spans="1:14" ht="18.75" customHeight="1">
      <c r="C392" s="35"/>
      <c r="D392" s="35"/>
      <c r="E392" s="35"/>
      <c r="F392" s="47"/>
      <c r="G392" s="35"/>
      <c r="H392" s="48"/>
      <c r="I392" s="35"/>
      <c r="J392" s="35"/>
      <c r="K392" s="35"/>
      <c r="L392" s="54"/>
      <c r="M392" s="35"/>
      <c r="N392" s="67">
        <f>SUM(N386:N391)</f>
        <v>19.923999999999999</v>
      </c>
    </row>
    <row r="393" spans="1:14" ht="18.75" customHeight="1">
      <c r="A393" s="37" t="s">
        <v>850</v>
      </c>
      <c r="B393" s="38" t="s">
        <v>851</v>
      </c>
      <c r="C393" s="38"/>
      <c r="D393" s="39" t="s">
        <v>2</v>
      </c>
      <c r="E393" s="39" t="s">
        <v>1083</v>
      </c>
      <c r="F393" s="39" t="s">
        <v>1084</v>
      </c>
      <c r="G393" s="39" t="s">
        <v>4</v>
      </c>
      <c r="H393" s="39" t="s">
        <v>854</v>
      </c>
      <c r="I393" s="39" t="s">
        <v>5</v>
      </c>
      <c r="J393" s="39" t="s">
        <v>855</v>
      </c>
      <c r="K393" s="39" t="s">
        <v>5</v>
      </c>
      <c r="L393" s="39" t="s">
        <v>854</v>
      </c>
      <c r="M393" s="39" t="s">
        <v>856</v>
      </c>
      <c r="N393" s="39" t="s">
        <v>857</v>
      </c>
    </row>
    <row r="394" spans="1:14" ht="18.75" customHeight="1">
      <c r="A394" s="40" t="s">
        <v>1100</v>
      </c>
      <c r="B394" s="40" t="s">
        <v>859</v>
      </c>
      <c r="C394" s="40"/>
      <c r="D394" s="40">
        <v>25</v>
      </c>
      <c r="E394" s="40">
        <v>320</v>
      </c>
      <c r="F394" s="45">
        <v>1736</v>
      </c>
      <c r="G394" s="40">
        <v>0</v>
      </c>
      <c r="H394" s="46">
        <f t="shared" ref="H394:H399" si="69">(E394*2*0.001+F394*2*0.001)*G394</f>
        <v>0</v>
      </c>
      <c r="I394" s="40"/>
      <c r="J394" s="40">
        <f>VLOOKUP(D394,BM!$B$3:$Y$58,4,FALSE)</f>
        <v>0.15</v>
      </c>
      <c r="K394" s="40"/>
      <c r="L394" s="49">
        <f t="shared" ref="L394:L399" si="70">H394*J394</f>
        <v>0</v>
      </c>
      <c r="M394" s="40">
        <v>1</v>
      </c>
      <c r="N394" s="57">
        <f t="shared" ref="N394:N399" si="71">L394+M394</f>
        <v>1</v>
      </c>
    </row>
    <row r="395" spans="1:14" ht="18.75" customHeight="1">
      <c r="A395" s="40" t="s">
        <v>1101</v>
      </c>
      <c r="B395" s="40" t="s">
        <v>859</v>
      </c>
      <c r="C395" s="40"/>
      <c r="D395" s="40">
        <v>25</v>
      </c>
      <c r="E395" s="40">
        <v>320</v>
      </c>
      <c r="F395" s="45">
        <v>4904</v>
      </c>
      <c r="G395" s="40">
        <v>2</v>
      </c>
      <c r="H395" s="46">
        <f t="shared" si="69"/>
        <v>20.896000000000001</v>
      </c>
      <c r="I395" s="40"/>
      <c r="J395" s="40">
        <f>VLOOKUP(D395,BM!$B$3:$Y$58,4,FALSE)</f>
        <v>0.15</v>
      </c>
      <c r="K395" s="40"/>
      <c r="L395" s="49">
        <f t="shared" si="70"/>
        <v>3.1343999999999999</v>
      </c>
      <c r="M395" s="40">
        <v>1</v>
      </c>
      <c r="N395" s="57">
        <f t="shared" si="71"/>
        <v>4.1343999999999994</v>
      </c>
    </row>
    <row r="396" spans="1:14" ht="18.75" customHeight="1">
      <c r="A396" s="40" t="s">
        <v>1102</v>
      </c>
      <c r="B396" s="40" t="s">
        <v>859</v>
      </c>
      <c r="C396" s="40"/>
      <c r="D396" s="40">
        <v>30</v>
      </c>
      <c r="E396" s="40">
        <v>320</v>
      </c>
      <c r="F396" s="45">
        <v>1890</v>
      </c>
      <c r="G396" s="40">
        <v>0</v>
      </c>
      <c r="H396" s="46">
        <f t="shared" si="69"/>
        <v>0</v>
      </c>
      <c r="I396" s="40"/>
      <c r="J396" s="40">
        <f>VLOOKUP(D396,BM!$B$3:$Y$58,4,FALSE)</f>
        <v>0.15</v>
      </c>
      <c r="K396" s="40"/>
      <c r="L396" s="49">
        <f t="shared" si="70"/>
        <v>0</v>
      </c>
      <c r="M396" s="40">
        <v>1</v>
      </c>
      <c r="N396" s="57">
        <f t="shared" si="71"/>
        <v>1</v>
      </c>
    </row>
    <row r="397" spans="1:14" ht="18.75" customHeight="1">
      <c r="A397" s="40" t="s">
        <v>1103</v>
      </c>
      <c r="B397" s="40" t="s">
        <v>859</v>
      </c>
      <c r="C397" s="40"/>
      <c r="D397" s="40">
        <v>30</v>
      </c>
      <c r="E397" s="40">
        <v>320</v>
      </c>
      <c r="F397" s="45">
        <v>1890</v>
      </c>
      <c r="G397" s="40">
        <v>4</v>
      </c>
      <c r="H397" s="46">
        <f t="shared" si="69"/>
        <v>17.68</v>
      </c>
      <c r="I397" s="40"/>
      <c r="J397" s="40">
        <f>VLOOKUP(D397,BM!$B$3:$Y$58,4,FALSE)</f>
        <v>0.15</v>
      </c>
      <c r="K397" s="40"/>
      <c r="L397" s="49">
        <f t="shared" si="70"/>
        <v>2.6519999999999997</v>
      </c>
      <c r="M397" s="40">
        <v>1</v>
      </c>
      <c r="N397" s="57">
        <f t="shared" si="71"/>
        <v>3.6519999999999997</v>
      </c>
    </row>
    <row r="398" spans="1:14" ht="18.75" customHeight="1">
      <c r="A398" s="40" t="s">
        <v>1104</v>
      </c>
      <c r="B398" s="40" t="s">
        <v>859</v>
      </c>
      <c r="C398" s="40"/>
      <c r="D398" s="40">
        <v>25</v>
      </c>
      <c r="E398" s="40">
        <v>2336</v>
      </c>
      <c r="F398" s="45">
        <v>1890</v>
      </c>
      <c r="G398" s="40">
        <v>0</v>
      </c>
      <c r="H398" s="46">
        <f t="shared" si="69"/>
        <v>0</v>
      </c>
      <c r="I398" s="40"/>
      <c r="J398" s="40">
        <f>VLOOKUP(D398,BM!$B$3:$Y$58,4,FALSE)</f>
        <v>0.15</v>
      </c>
      <c r="K398" s="40"/>
      <c r="L398" s="49">
        <f t="shared" si="70"/>
        <v>0</v>
      </c>
      <c r="M398" s="40">
        <v>1</v>
      </c>
      <c r="N398" s="57">
        <f t="shared" si="71"/>
        <v>1</v>
      </c>
    </row>
    <row r="399" spans="1:14" ht="18.75" customHeight="1">
      <c r="A399" s="40" t="s">
        <v>1105</v>
      </c>
      <c r="B399" s="40" t="s">
        <v>859</v>
      </c>
      <c r="C399" s="40"/>
      <c r="D399" s="40">
        <v>30</v>
      </c>
      <c r="E399" s="40">
        <v>135</v>
      </c>
      <c r="F399" s="45">
        <v>400</v>
      </c>
      <c r="G399" s="40">
        <v>16</v>
      </c>
      <c r="H399" s="46">
        <f t="shared" si="69"/>
        <v>17.12</v>
      </c>
      <c r="I399" s="40"/>
      <c r="J399" s="40">
        <f>VLOOKUP(D399,BM!$B$3:$Y$58,4,FALSE)</f>
        <v>0.15</v>
      </c>
      <c r="K399" s="40"/>
      <c r="L399" s="49">
        <f t="shared" si="70"/>
        <v>2.5680000000000001</v>
      </c>
      <c r="M399" s="40">
        <v>1</v>
      </c>
      <c r="N399" s="57">
        <f t="shared" si="71"/>
        <v>3.5680000000000001</v>
      </c>
    </row>
    <row r="400" spans="1:14" ht="18.75" customHeight="1">
      <c r="N400" s="72">
        <f>SUM(N394:N399)</f>
        <v>14.354399999999998</v>
      </c>
    </row>
    <row r="401" spans="1:14" ht="18.75" customHeight="1">
      <c r="A401" s="37" t="s">
        <v>850</v>
      </c>
      <c r="B401" s="38" t="s">
        <v>851</v>
      </c>
      <c r="C401" s="38"/>
      <c r="D401" s="39" t="s">
        <v>2</v>
      </c>
      <c r="E401" s="39"/>
      <c r="F401" s="39"/>
      <c r="G401" s="39" t="s">
        <v>4</v>
      </c>
      <c r="H401" s="39" t="s">
        <v>854</v>
      </c>
      <c r="I401" s="39" t="s">
        <v>5</v>
      </c>
      <c r="J401" s="39" t="s">
        <v>855</v>
      </c>
      <c r="K401" s="39" t="s">
        <v>5</v>
      </c>
      <c r="L401" s="39" t="s">
        <v>854</v>
      </c>
      <c r="M401" s="39" t="s">
        <v>856</v>
      </c>
      <c r="N401" s="39" t="s">
        <v>857</v>
      </c>
    </row>
    <row r="402" spans="1:14" ht="18.75" customHeight="1">
      <c r="A402" s="40" t="s">
        <v>1106</v>
      </c>
      <c r="B402" s="40" t="s">
        <v>859</v>
      </c>
      <c r="C402" s="40"/>
      <c r="D402" s="40">
        <v>25</v>
      </c>
      <c r="E402" s="40"/>
      <c r="F402" s="45"/>
      <c r="G402" s="40">
        <v>2</v>
      </c>
      <c r="H402" s="46">
        <v>2</v>
      </c>
      <c r="I402" s="40" t="s">
        <v>81</v>
      </c>
      <c r="J402" s="40">
        <v>12</v>
      </c>
      <c r="K402" s="40"/>
      <c r="L402" s="49">
        <f t="shared" ref="L402:L403" si="72">H402*J402</f>
        <v>24</v>
      </c>
      <c r="M402" s="40">
        <v>1</v>
      </c>
      <c r="N402" s="57">
        <f>L402+M402</f>
        <v>25</v>
      </c>
    </row>
    <row r="403" spans="1:14" ht="18.75" customHeight="1">
      <c r="A403" s="40" t="s">
        <v>1107</v>
      </c>
      <c r="B403" s="40" t="s">
        <v>859</v>
      </c>
      <c r="C403" s="40"/>
      <c r="D403" s="40">
        <v>25</v>
      </c>
      <c r="E403" s="40"/>
      <c r="F403" s="45"/>
      <c r="G403" s="40">
        <v>2</v>
      </c>
      <c r="H403" s="46">
        <f t="shared" ref="H403" si="73">(E403*2*0.001+F403*2*0.001)*G403</f>
        <v>0</v>
      </c>
      <c r="I403" s="40"/>
      <c r="J403" s="40">
        <f>VLOOKUP(D403,BM!$B$3:$Y$58,4,FALSE)</f>
        <v>0.15</v>
      </c>
      <c r="K403" s="40"/>
      <c r="L403" s="49">
        <f t="shared" si="72"/>
        <v>0</v>
      </c>
      <c r="M403" s="40">
        <v>1</v>
      </c>
      <c r="N403" s="57">
        <f>L403+M403</f>
        <v>1</v>
      </c>
    </row>
    <row r="404" spans="1:14" ht="18.75" customHeight="1">
      <c r="C404" s="35"/>
      <c r="L404" s="54"/>
      <c r="M404" s="35"/>
      <c r="N404" s="61"/>
    </row>
    <row r="406" spans="1:14" ht="18.75" customHeight="1">
      <c r="A406" s="68" t="s">
        <v>1108</v>
      </c>
      <c r="B406" s="68">
        <v>1536</v>
      </c>
      <c r="C406" s="68"/>
      <c r="D406" s="69"/>
      <c r="E406" s="69"/>
      <c r="F406" s="69"/>
      <c r="G406" s="69"/>
      <c r="H406" s="69"/>
      <c r="I406" s="69"/>
      <c r="J406" s="69"/>
    </row>
    <row r="407" spans="1:14" ht="18.75" customHeight="1">
      <c r="A407" s="68" t="s">
        <v>1109</v>
      </c>
      <c r="B407" s="68">
        <v>25</v>
      </c>
      <c r="C407" s="68"/>
      <c r="D407" s="69"/>
      <c r="E407" s="69"/>
      <c r="F407" s="69"/>
      <c r="G407" s="69"/>
      <c r="H407" s="69"/>
      <c r="I407" s="69"/>
      <c r="J407" s="69"/>
    </row>
    <row r="408" spans="1:14" ht="18.75" customHeight="1">
      <c r="A408" s="68" t="s">
        <v>1110</v>
      </c>
      <c r="B408" s="70">
        <f>B407+B406</f>
        <v>1561</v>
      </c>
      <c r="C408" s="68"/>
      <c r="D408" s="69"/>
      <c r="E408" s="69"/>
      <c r="F408" s="69"/>
      <c r="G408" s="69"/>
      <c r="H408" s="69"/>
      <c r="I408" s="69"/>
      <c r="J408" s="69"/>
    </row>
    <row r="409" spans="1:14" ht="18.75" customHeight="1">
      <c r="A409" s="68" t="s">
        <v>1111</v>
      </c>
      <c r="B409" s="68"/>
      <c r="C409" s="68" t="s">
        <v>1112</v>
      </c>
      <c r="D409" s="68" t="s">
        <v>1113</v>
      </c>
      <c r="E409" s="68" t="s">
        <v>1114</v>
      </c>
      <c r="F409" s="68" t="s">
        <v>1115</v>
      </c>
      <c r="G409" s="73" t="s">
        <v>1116</v>
      </c>
      <c r="H409" s="68" t="s">
        <v>1117</v>
      </c>
      <c r="I409" s="73" t="s">
        <v>1118</v>
      </c>
    </row>
    <row r="410" spans="1:14" ht="18.75" customHeight="1">
      <c r="A410" s="68" t="s">
        <v>1119</v>
      </c>
      <c r="B410" s="68"/>
      <c r="C410" s="68"/>
      <c r="D410" s="68">
        <v>18</v>
      </c>
      <c r="E410" s="68">
        <v>1890</v>
      </c>
      <c r="F410" s="68">
        <v>1</v>
      </c>
      <c r="G410" s="68">
        <v>1890</v>
      </c>
      <c r="H410" s="74">
        <f>VLOOKUP(D410,BM!$B$3:$Y$58,22,FALSE)</f>
        <v>3.4</v>
      </c>
      <c r="I410" s="75">
        <f>G410*0.001*H410</f>
        <v>6.4260000000000002</v>
      </c>
    </row>
    <row r="411" spans="1:14" ht="18.75" customHeight="1">
      <c r="A411" s="68" t="s">
        <v>1120</v>
      </c>
      <c r="B411" s="68"/>
      <c r="C411" s="70"/>
      <c r="D411" s="68">
        <v>18</v>
      </c>
      <c r="E411" s="68">
        <v>539</v>
      </c>
      <c r="F411" s="68">
        <v>4</v>
      </c>
      <c r="G411" s="68">
        <f>E411*F411*2</f>
        <v>4312</v>
      </c>
      <c r="H411" s="74">
        <f>VLOOKUP(D411,BM!$B$3:$Y$58,22,FALSE)</f>
        <v>3.4</v>
      </c>
      <c r="I411" s="75">
        <f>G411*0.001*H411</f>
        <v>14.6608</v>
      </c>
    </row>
    <row r="412" spans="1:14" ht="18.75" customHeight="1">
      <c r="A412" s="68" t="s">
        <v>1121</v>
      </c>
      <c r="B412" s="68"/>
      <c r="C412" s="70"/>
      <c r="D412" s="68">
        <v>18</v>
      </c>
      <c r="E412" s="68">
        <v>138</v>
      </c>
      <c r="F412" s="68">
        <v>4</v>
      </c>
      <c r="G412" s="68">
        <f>E412*F412*2</f>
        <v>1104</v>
      </c>
      <c r="H412" s="74">
        <f>VLOOKUP(D412,BM!$B$3:$Y$58,22,FALSE)</f>
        <v>3.4</v>
      </c>
      <c r="I412" s="75">
        <f>G412*0.001*H412</f>
        <v>3.7536</v>
      </c>
    </row>
    <row r="413" spans="1:14" ht="18.75" customHeight="1">
      <c r="A413" s="34"/>
      <c r="B413" s="34"/>
      <c r="C413" s="34"/>
      <c r="I413" s="76">
        <f>SUM(I410:I412)</f>
        <v>24.840399999999999</v>
      </c>
    </row>
    <row r="414" spans="1:14" ht="18.75" customHeight="1">
      <c r="A414" s="34"/>
      <c r="B414" s="34"/>
      <c r="C414" s="34"/>
      <c r="G414" s="34" t="s">
        <v>1122</v>
      </c>
      <c r="H414" s="34">
        <v>4</v>
      </c>
    </row>
    <row r="415" spans="1:14" ht="18.75" customHeight="1">
      <c r="A415" s="34"/>
      <c r="B415" s="34"/>
      <c r="C415" s="34"/>
      <c r="G415" s="34" t="s">
        <v>1123</v>
      </c>
      <c r="I415" s="76">
        <f>I413*H414</f>
        <v>99.361599999999996</v>
      </c>
      <c r="J415" s="34" t="s">
        <v>48</v>
      </c>
    </row>
    <row r="416" spans="1:14" ht="18.75" customHeight="1">
      <c r="A416" s="34"/>
      <c r="B416" s="34"/>
      <c r="C416" s="34"/>
    </row>
    <row r="417" spans="1:10" ht="18.75" customHeight="1">
      <c r="A417" s="68" t="s">
        <v>1108</v>
      </c>
      <c r="B417" s="68">
        <v>1536</v>
      </c>
      <c r="C417" s="68"/>
      <c r="D417" s="69"/>
      <c r="E417" s="69"/>
      <c r="F417" s="69"/>
      <c r="G417" s="69"/>
      <c r="H417" s="69"/>
      <c r="I417" s="69"/>
      <c r="J417" s="69"/>
    </row>
    <row r="418" spans="1:10" ht="18.75" customHeight="1">
      <c r="A418" s="68" t="s">
        <v>1109</v>
      </c>
      <c r="B418" s="68">
        <v>25</v>
      </c>
      <c r="C418" s="68"/>
      <c r="D418" s="69"/>
      <c r="E418" s="69"/>
      <c r="F418" s="69"/>
      <c r="G418" s="69"/>
      <c r="H418" s="69"/>
      <c r="I418" s="69"/>
      <c r="J418" s="69"/>
    </row>
    <row r="419" spans="1:10" ht="18.75" customHeight="1">
      <c r="A419" s="68" t="s">
        <v>1110</v>
      </c>
      <c r="B419" s="70">
        <f>B418+B417</f>
        <v>1561</v>
      </c>
      <c r="C419" s="68"/>
      <c r="D419" s="69"/>
      <c r="E419" s="69"/>
      <c r="F419" s="69"/>
      <c r="G419" s="69"/>
      <c r="H419" s="69"/>
      <c r="I419" s="69"/>
      <c r="J419" s="69"/>
    </row>
    <row r="420" spans="1:10" ht="18.75" customHeight="1">
      <c r="A420" s="70" t="s">
        <v>1124</v>
      </c>
      <c r="B420" s="68"/>
      <c r="C420" s="68" t="s">
        <v>1112</v>
      </c>
      <c r="D420" s="68" t="s">
        <v>1113</v>
      </c>
      <c r="E420" s="68" t="s">
        <v>1114</v>
      </c>
      <c r="F420" s="68" t="s">
        <v>1115</v>
      </c>
      <c r="G420" s="73" t="s">
        <v>1116</v>
      </c>
      <c r="H420" s="68" t="s">
        <v>1117</v>
      </c>
      <c r="I420" s="73" t="s">
        <v>1118</v>
      </c>
    </row>
    <row r="421" spans="1:10" ht="18.75" customHeight="1">
      <c r="A421" s="68" t="s">
        <v>1125</v>
      </c>
      <c r="B421" s="68"/>
      <c r="C421" s="68"/>
      <c r="D421" s="68">
        <v>18</v>
      </c>
      <c r="E421" s="68">
        <v>1890</v>
      </c>
      <c r="F421" s="68">
        <v>2</v>
      </c>
      <c r="G421" s="68">
        <v>1890</v>
      </c>
      <c r="H421" s="74">
        <f>VLOOKUP(D421,BM!$B$3:$Y$58,22,FALSE)</f>
        <v>3.4</v>
      </c>
      <c r="I421" s="75">
        <f>G421*0.001*H421</f>
        <v>6.4260000000000002</v>
      </c>
    </row>
    <row r="422" spans="1:10" ht="18.75" customHeight="1">
      <c r="A422" s="68" t="s">
        <v>1126</v>
      </c>
      <c r="B422" s="68"/>
      <c r="C422" s="68"/>
      <c r="D422" s="68">
        <v>18</v>
      </c>
      <c r="E422" s="68">
        <v>2336</v>
      </c>
      <c r="F422" s="68">
        <v>2</v>
      </c>
      <c r="G422" s="68">
        <f>E422*F422*2</f>
        <v>9344</v>
      </c>
      <c r="H422" s="68">
        <f>VLOOKUP(D422,BM!$B$3:$Y$58,22,FALSE)</f>
        <v>3.4</v>
      </c>
      <c r="I422" s="77">
        <f>G422*0.001*H422</f>
        <v>31.769599999999997</v>
      </c>
    </row>
    <row r="423" spans="1:10" ht="18.75" customHeight="1">
      <c r="A423" s="68" t="s">
        <v>1127</v>
      </c>
      <c r="B423" s="68"/>
      <c r="C423" s="68"/>
      <c r="D423" s="68">
        <v>18</v>
      </c>
      <c r="E423" s="68">
        <v>320</v>
      </c>
      <c r="F423" s="68">
        <v>1</v>
      </c>
      <c r="G423" s="68">
        <f>E423*F423*2</f>
        <v>640</v>
      </c>
      <c r="H423" s="68">
        <f>VLOOKUP(D423,BM!$B$3:$Y$58,22,FALSE)</f>
        <v>3.4</v>
      </c>
      <c r="I423" s="77">
        <f>G423*0.001*H423</f>
        <v>2.1760000000000002</v>
      </c>
    </row>
    <row r="424" spans="1:10" ht="18.75" customHeight="1">
      <c r="A424" s="68" t="s">
        <v>1128</v>
      </c>
      <c r="B424" s="68"/>
      <c r="C424" s="68"/>
      <c r="D424" s="68">
        <v>18</v>
      </c>
      <c r="E424" s="68">
        <f>E422-B419</f>
        <v>775</v>
      </c>
      <c r="F424" s="68">
        <v>4</v>
      </c>
      <c r="G424" s="68">
        <f>E424*F424*2</f>
        <v>6200</v>
      </c>
      <c r="H424" s="68">
        <f>VLOOKUP(D424,BM!$B$3:$Y$58,22,FALSE)</f>
        <v>3.4</v>
      </c>
      <c r="I424" s="77">
        <f>SUM(I421:I422)</f>
        <v>38.195599999999999</v>
      </c>
    </row>
    <row r="425" spans="1:10" ht="18.75" customHeight="1">
      <c r="A425" s="68" t="s">
        <v>1129</v>
      </c>
      <c r="B425" s="68"/>
      <c r="C425" s="68"/>
      <c r="D425" s="68">
        <v>18</v>
      </c>
      <c r="E425" s="68">
        <v>160</v>
      </c>
      <c r="F425" s="68">
        <v>4</v>
      </c>
      <c r="G425" s="68">
        <f>E425*F425*2*2</f>
        <v>2560</v>
      </c>
      <c r="H425" s="68">
        <f>VLOOKUP(D425,BM!$B$3:$Y$58,22,FALSE)</f>
        <v>3.4</v>
      </c>
      <c r="I425" s="77">
        <f>SUM(I422:I423)</f>
        <v>33.945599999999999</v>
      </c>
    </row>
    <row r="426" spans="1:10" ht="18.75" customHeight="1">
      <c r="A426" s="71"/>
      <c r="B426" s="71"/>
      <c r="C426" s="71"/>
      <c r="D426" s="71"/>
      <c r="E426" s="71"/>
      <c r="F426" s="71"/>
      <c r="G426" s="71"/>
      <c r="H426" s="71"/>
      <c r="I426" s="78">
        <f>SUM(I421:I425)</f>
        <v>112.5128</v>
      </c>
    </row>
    <row r="427" spans="1:10" ht="18.75" customHeight="1">
      <c r="A427" s="34"/>
      <c r="B427" s="34"/>
      <c r="C427" s="34"/>
      <c r="G427" s="34" t="s">
        <v>1122</v>
      </c>
      <c r="H427" s="34">
        <v>4</v>
      </c>
      <c r="I427" s="79">
        <f>I426*H427</f>
        <v>450.05119999999999</v>
      </c>
    </row>
    <row r="428" spans="1:10" ht="18.75" customHeight="1">
      <c r="J428" s="47"/>
    </row>
  </sheetData>
  <pageMargins left="0.30902777777777801" right="0.21875" top="0.75" bottom="0.75" header="0.3" footer="0.3"/>
  <pageSetup paperSize="9" scale="85" orientation="landscape"/>
  <headerFooter>
    <oddFooter>&amp;L&amp;F&amp;C&amp;P/&amp;N&amp;R&amp;D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28"/>
  <sheetViews>
    <sheetView showGridLines="0" workbookViewId="0">
      <selection activeCell="F1" sqref="F1:P2"/>
    </sheetView>
  </sheetViews>
  <sheetFormatPr defaultColWidth="9.1328125" defaultRowHeight="18.75" customHeight="1"/>
  <cols>
    <col min="1" max="1" width="9.1328125" style="34"/>
    <col min="2" max="2" width="5.86328125" style="34" customWidth="1"/>
    <col min="3" max="3" width="32.59765625" style="35" customWidth="1"/>
    <col min="4" max="4" width="5.73046875" style="35" customWidth="1"/>
    <col min="5" max="5" width="5.86328125" style="36" customWidth="1"/>
    <col min="6" max="6" width="8.1328125" style="34" customWidth="1"/>
    <col min="7" max="7" width="9.59765625" style="34" customWidth="1"/>
    <col min="8" max="8" width="10.265625" style="34" customWidth="1"/>
    <col min="9" max="9" width="15.3984375" style="34" customWidth="1"/>
    <col min="10" max="10" width="9.3984375" style="34" customWidth="1"/>
    <col min="11" max="11" width="15.1328125" style="34" customWidth="1"/>
    <col min="12" max="12" width="16.73046875" style="34" customWidth="1"/>
    <col min="13" max="13" width="8.73046875" style="34" customWidth="1"/>
    <col min="14" max="14" width="6.59765625" style="34" customWidth="1"/>
    <col min="15" max="15" width="12.86328125" style="34" customWidth="1"/>
    <col min="16" max="16" width="10.265625" style="34" customWidth="1"/>
    <col min="17" max="16384" width="9.1328125" style="34"/>
  </cols>
  <sheetData>
    <row r="1" spans="3:16" s="33" customFormat="1" ht="21" customHeight="1">
      <c r="C1" s="37" t="s">
        <v>850</v>
      </c>
      <c r="D1" s="38" t="s">
        <v>851</v>
      </c>
      <c r="E1" s="38"/>
      <c r="F1" s="39" t="s">
        <v>2</v>
      </c>
      <c r="G1" s="39" t="s">
        <v>852</v>
      </c>
      <c r="H1" s="39" t="s">
        <v>853</v>
      </c>
      <c r="I1" s="39" t="s">
        <v>4</v>
      </c>
      <c r="J1" s="39" t="s">
        <v>854</v>
      </c>
      <c r="K1" s="39" t="s">
        <v>5</v>
      </c>
      <c r="L1" s="39" t="s">
        <v>855</v>
      </c>
      <c r="M1" s="39"/>
      <c r="N1" s="39" t="s">
        <v>854</v>
      </c>
      <c r="O1" s="39" t="s">
        <v>856</v>
      </c>
      <c r="P1" s="39" t="s">
        <v>857</v>
      </c>
    </row>
    <row r="2" spans="3:16" ht="18.75" customHeight="1">
      <c r="C2" s="40" t="s">
        <v>858</v>
      </c>
      <c r="D2" s="40" t="s">
        <v>859</v>
      </c>
      <c r="E2" s="41"/>
      <c r="F2" s="42">
        <v>18</v>
      </c>
      <c r="G2" s="42">
        <v>2500</v>
      </c>
      <c r="H2" s="42">
        <v>5000</v>
      </c>
      <c r="I2" s="42">
        <v>2</v>
      </c>
      <c r="J2" s="45">
        <f>(G2*2*0.001+H2*2*0.001)*I2</f>
        <v>30</v>
      </c>
      <c r="K2" s="45" t="s">
        <v>860</v>
      </c>
      <c r="L2" s="46">
        <f>VLOOKUP(F2,BM!$B$3:$Y$58,2,FALSE)</f>
        <v>0.1</v>
      </c>
      <c r="M2" s="46"/>
      <c r="N2" s="46">
        <f>J2*L2</f>
        <v>3</v>
      </c>
      <c r="O2" s="46">
        <v>1</v>
      </c>
      <c r="P2" s="46">
        <f>N2+O2</f>
        <v>4</v>
      </c>
    </row>
    <row r="3" spans="3:16" ht="18.75" customHeight="1">
      <c r="C3" s="40" t="s">
        <v>858</v>
      </c>
      <c r="D3" s="40" t="s">
        <v>859</v>
      </c>
      <c r="E3" s="41"/>
      <c r="F3" s="42">
        <v>18</v>
      </c>
      <c r="G3" s="42">
        <v>2000</v>
      </c>
      <c r="H3" s="42">
        <v>5000</v>
      </c>
      <c r="I3" s="42">
        <v>1</v>
      </c>
      <c r="J3" s="45">
        <f>(G3*2*0.001+H3*2*0.001)*I3</f>
        <v>14</v>
      </c>
      <c r="K3" s="45" t="s">
        <v>860</v>
      </c>
      <c r="L3" s="46">
        <f>VLOOKUP(F3,BM!$B$3:$Y$58,2,FALSE)</f>
        <v>0.1</v>
      </c>
      <c r="M3" s="46"/>
      <c r="N3" s="46">
        <f>J3*L3</f>
        <v>1.4000000000000001</v>
      </c>
      <c r="O3" s="46">
        <v>1</v>
      </c>
      <c r="P3" s="46">
        <f>N3+O3</f>
        <v>2.4000000000000004</v>
      </c>
    </row>
    <row r="4" spans="3:16" ht="18.75" customHeight="1">
      <c r="C4" s="40" t="s">
        <v>858</v>
      </c>
      <c r="D4" s="40" t="s">
        <v>859</v>
      </c>
      <c r="E4" s="41"/>
      <c r="F4" s="42">
        <v>18</v>
      </c>
      <c r="G4" s="42">
        <v>1250</v>
      </c>
      <c r="H4" s="42">
        <v>5000</v>
      </c>
      <c r="I4" s="42">
        <v>1</v>
      </c>
      <c r="J4" s="45">
        <f>(G4*2*0.001+H4*2*0.001)*I4</f>
        <v>12.5</v>
      </c>
      <c r="K4" s="45" t="s">
        <v>860</v>
      </c>
      <c r="L4" s="46">
        <f>VLOOKUP(F4,BM!$B$3:$Y$58,2,FALSE)</f>
        <v>0.1</v>
      </c>
      <c r="M4" s="46"/>
      <c r="N4" s="46">
        <f>J4*L4</f>
        <v>1.25</v>
      </c>
      <c r="O4" s="46">
        <v>1</v>
      </c>
      <c r="P4" s="46">
        <f>N4+O4</f>
        <v>2.25</v>
      </c>
    </row>
    <row r="5" spans="3:16" ht="18.75" customHeight="1">
      <c r="C5" s="35" t="s">
        <v>861</v>
      </c>
      <c r="D5" s="34"/>
      <c r="E5" s="43"/>
    </row>
    <row r="6" spans="3:16" ht="18.75" customHeight="1">
      <c r="C6" s="40" t="s">
        <v>862</v>
      </c>
      <c r="D6" s="40" t="s">
        <v>859</v>
      </c>
      <c r="E6" s="41"/>
      <c r="F6" s="42">
        <v>18</v>
      </c>
      <c r="G6" s="42">
        <v>2500</v>
      </c>
      <c r="H6" s="42">
        <v>5000</v>
      </c>
      <c r="I6" s="42">
        <v>2</v>
      </c>
      <c r="J6" s="45">
        <f>(G6*2*0.001+H6*2*0.001)*I6</f>
        <v>30</v>
      </c>
      <c r="K6" s="45" t="s">
        <v>860</v>
      </c>
      <c r="L6" s="46">
        <f>VLOOKUP(F6,BM!$B$3:$Y$58,3,FALSE)</f>
        <v>0.25</v>
      </c>
      <c r="M6" s="46"/>
      <c r="N6" s="46">
        <f>J6*L6</f>
        <v>7.5</v>
      </c>
      <c r="O6" s="46">
        <v>1</v>
      </c>
      <c r="P6" s="46">
        <f>N6+O6</f>
        <v>8.5</v>
      </c>
    </row>
    <row r="7" spans="3:16" ht="18.75" customHeight="1">
      <c r="C7" s="40" t="s">
        <v>862</v>
      </c>
      <c r="D7" s="40" t="s">
        <v>859</v>
      </c>
      <c r="E7" s="41"/>
      <c r="F7" s="42">
        <v>18</v>
      </c>
      <c r="G7" s="42">
        <v>2000</v>
      </c>
      <c r="H7" s="42">
        <v>5000</v>
      </c>
      <c r="I7" s="42">
        <v>1</v>
      </c>
      <c r="J7" s="45">
        <f>(G7*2*0.001+H7*2*0.001)*I7</f>
        <v>14</v>
      </c>
      <c r="K7" s="45" t="s">
        <v>860</v>
      </c>
      <c r="L7" s="46">
        <f>VLOOKUP(F7,BM!$B$3:$Y$58,3,FALSE)</f>
        <v>0.25</v>
      </c>
      <c r="M7" s="46"/>
      <c r="N7" s="46">
        <f>J7*L7</f>
        <v>3.5</v>
      </c>
      <c r="O7" s="46">
        <v>1</v>
      </c>
      <c r="P7" s="46">
        <f>N7+O7</f>
        <v>4.5</v>
      </c>
    </row>
    <row r="8" spans="3:16" ht="18.75" customHeight="1">
      <c r="C8" s="40" t="s">
        <v>862</v>
      </c>
      <c r="D8" s="40" t="s">
        <v>859</v>
      </c>
      <c r="E8" s="41"/>
      <c r="F8" s="42">
        <v>18</v>
      </c>
      <c r="G8" s="42">
        <v>1250</v>
      </c>
      <c r="H8" s="42">
        <v>5000</v>
      </c>
      <c r="I8" s="42">
        <v>1</v>
      </c>
      <c r="J8" s="45">
        <f>(G8*2*0.001+H8*2*0.001)*I8</f>
        <v>12.5</v>
      </c>
      <c r="K8" s="45" t="s">
        <v>860</v>
      </c>
      <c r="L8" s="46">
        <f>VLOOKUP(F8,BM!$B$3:$Y$58,3,FALSE)</f>
        <v>0.25</v>
      </c>
      <c r="M8" s="46"/>
      <c r="N8" s="46">
        <f>J8*L8</f>
        <v>3.125</v>
      </c>
      <c r="O8" s="46">
        <v>1</v>
      </c>
      <c r="P8" s="46">
        <f>N8+O8</f>
        <v>4.125</v>
      </c>
    </row>
    <row r="9" spans="3:16" ht="18.75" customHeight="1">
      <c r="J9" s="47"/>
      <c r="K9" s="47"/>
      <c r="L9" s="48"/>
      <c r="M9" s="48"/>
      <c r="N9" s="48"/>
      <c r="O9" s="48"/>
      <c r="P9" s="48"/>
    </row>
    <row r="10" spans="3:16" ht="18.75" customHeight="1">
      <c r="C10" s="40" t="s">
        <v>863</v>
      </c>
      <c r="D10" s="40" t="s">
        <v>859</v>
      </c>
      <c r="E10" s="41"/>
      <c r="F10" s="42">
        <v>18</v>
      </c>
      <c r="G10" s="42">
        <v>2500</v>
      </c>
      <c r="H10" s="42">
        <v>5000</v>
      </c>
      <c r="I10" s="42">
        <v>2</v>
      </c>
      <c r="J10" s="45">
        <f>(G10*2*0.001+H10*2*0.001)*I10</f>
        <v>30</v>
      </c>
      <c r="K10" s="45" t="s">
        <v>860</v>
      </c>
      <c r="L10" s="46">
        <f>VLOOKUP(F10,BM!$B$3:$Y$58,4,FALSE)</f>
        <v>0.15</v>
      </c>
      <c r="M10" s="46"/>
      <c r="N10" s="46">
        <f>J10*L10</f>
        <v>4.5</v>
      </c>
      <c r="O10" s="46">
        <v>1</v>
      </c>
      <c r="P10" s="46">
        <f>N10+O10</f>
        <v>5.5</v>
      </c>
    </row>
    <row r="11" spans="3:16" ht="18.75" customHeight="1">
      <c r="C11" s="40" t="s">
        <v>863</v>
      </c>
      <c r="D11" s="40" t="s">
        <v>859</v>
      </c>
      <c r="E11" s="41"/>
      <c r="F11" s="42">
        <v>18</v>
      </c>
      <c r="G11" s="42">
        <v>2000</v>
      </c>
      <c r="H11" s="42">
        <v>5000</v>
      </c>
      <c r="I11" s="42">
        <v>1</v>
      </c>
      <c r="J11" s="45">
        <f>(G11*2*0.001+H11*2*0.001)*I11</f>
        <v>14</v>
      </c>
      <c r="K11" s="45" t="s">
        <v>860</v>
      </c>
      <c r="L11" s="46">
        <f>VLOOKUP(F11,BM!$B$3:$Y$58,4,FALSE)</f>
        <v>0.15</v>
      </c>
      <c r="M11" s="46"/>
      <c r="N11" s="46">
        <f>J11*L11</f>
        <v>2.1</v>
      </c>
      <c r="O11" s="46">
        <v>1</v>
      </c>
      <c r="P11" s="46">
        <f>N11+O11</f>
        <v>3.1</v>
      </c>
    </row>
    <row r="12" spans="3:16" ht="18.75" customHeight="1">
      <c r="C12" s="40" t="s">
        <v>863</v>
      </c>
      <c r="D12" s="40" t="s">
        <v>859</v>
      </c>
      <c r="E12" s="41"/>
      <c r="F12" s="42">
        <v>18</v>
      </c>
      <c r="G12" s="42">
        <v>1250</v>
      </c>
      <c r="H12" s="42">
        <v>5000</v>
      </c>
      <c r="I12" s="42">
        <v>1</v>
      </c>
      <c r="J12" s="45">
        <f>(G12*2*0.001+H12*2*0.001)*I12</f>
        <v>12.5</v>
      </c>
      <c r="K12" s="45" t="s">
        <v>860</v>
      </c>
      <c r="L12" s="46">
        <f>VLOOKUP(F12,BM!$B$3:$Y$58,4,FALSE)</f>
        <v>0.15</v>
      </c>
      <c r="M12" s="46"/>
      <c r="N12" s="46">
        <f>J12*L12</f>
        <v>1.875</v>
      </c>
      <c r="O12" s="46">
        <v>1</v>
      </c>
      <c r="P12" s="46">
        <f>N12+O12</f>
        <v>2.875</v>
      </c>
    </row>
    <row r="13" spans="3:16" ht="18.75" customHeight="1">
      <c r="J13" s="47"/>
      <c r="K13" s="47"/>
      <c r="L13" s="48"/>
      <c r="M13" s="48"/>
      <c r="N13" s="48"/>
      <c r="O13" s="48"/>
      <c r="P13" s="48"/>
    </row>
    <row r="14" spans="3:16" ht="18.75" customHeight="1">
      <c r="C14" s="40" t="s">
        <v>864</v>
      </c>
      <c r="D14" s="40" t="s">
        <v>859</v>
      </c>
      <c r="E14" s="41"/>
      <c r="F14" s="42">
        <v>18</v>
      </c>
      <c r="G14" s="42">
        <v>2500</v>
      </c>
      <c r="H14" s="42">
        <v>5000</v>
      </c>
      <c r="I14" s="42">
        <v>2</v>
      </c>
      <c r="J14" s="45">
        <f>(H14*2*0.001)*I14</f>
        <v>20</v>
      </c>
      <c r="K14" s="45" t="s">
        <v>860</v>
      </c>
      <c r="L14" s="46">
        <f>VLOOKUP(F14,BM!$B$3:$Y$58,5,FALSE)</f>
        <v>0.5</v>
      </c>
      <c r="M14" s="46"/>
      <c r="N14" s="46">
        <f>J14*L14</f>
        <v>10</v>
      </c>
      <c r="O14" s="46">
        <v>1</v>
      </c>
      <c r="P14" s="46">
        <f>N14+O14</f>
        <v>11</v>
      </c>
    </row>
    <row r="15" spans="3:16" ht="18.75" customHeight="1">
      <c r="C15" s="40" t="s">
        <v>864</v>
      </c>
      <c r="D15" s="40" t="s">
        <v>859</v>
      </c>
      <c r="E15" s="41"/>
      <c r="F15" s="42">
        <v>18</v>
      </c>
      <c r="G15" s="42">
        <v>2000</v>
      </c>
      <c r="H15" s="42">
        <v>5000</v>
      </c>
      <c r="I15" s="42">
        <v>1</v>
      </c>
      <c r="J15" s="45">
        <f>(H15*2*0.001)*I15</f>
        <v>10</v>
      </c>
      <c r="K15" s="45" t="s">
        <v>860</v>
      </c>
      <c r="L15" s="46">
        <f>VLOOKUP(F15,BM!$B$3:$Y$58,5,FALSE)</f>
        <v>0.5</v>
      </c>
      <c r="M15" s="46"/>
      <c r="N15" s="46">
        <f>J15*L15</f>
        <v>5</v>
      </c>
      <c r="O15" s="46">
        <v>1</v>
      </c>
      <c r="P15" s="46">
        <f>N15+O15</f>
        <v>6</v>
      </c>
    </row>
    <row r="16" spans="3:16" ht="18.75" customHeight="1">
      <c r="C16" s="40" t="s">
        <v>864</v>
      </c>
      <c r="D16" s="40" t="s">
        <v>859</v>
      </c>
      <c r="E16" s="41"/>
      <c r="F16" s="42">
        <v>18</v>
      </c>
      <c r="G16" s="42">
        <v>1000</v>
      </c>
      <c r="H16" s="42">
        <v>5000</v>
      </c>
      <c r="I16" s="42">
        <v>1</v>
      </c>
      <c r="J16" s="45">
        <f>(H16*2*0.001)*I16</f>
        <v>10</v>
      </c>
      <c r="K16" s="45" t="s">
        <v>860</v>
      </c>
      <c r="L16" s="46">
        <f>VLOOKUP(F16,BM!$B$3:$Y$58,5,FALSE)</f>
        <v>0.5</v>
      </c>
      <c r="M16" s="46"/>
      <c r="N16" s="46">
        <f>J16*L16</f>
        <v>5</v>
      </c>
      <c r="O16" s="46">
        <v>1</v>
      </c>
      <c r="P16" s="46">
        <f>N16+O16</f>
        <v>6</v>
      </c>
    </row>
    <row r="17" spans="3:16" ht="18.75" customHeight="1">
      <c r="J17" s="47"/>
      <c r="K17" s="47"/>
      <c r="L17" s="48"/>
      <c r="M17" s="48"/>
      <c r="N17" s="48"/>
      <c r="O17" s="48"/>
      <c r="P17" s="48"/>
    </row>
    <row r="18" spans="3:16" ht="18.75" customHeight="1">
      <c r="C18" s="40" t="s">
        <v>865</v>
      </c>
      <c r="D18" s="40" t="s">
        <v>859</v>
      </c>
      <c r="E18" s="41"/>
      <c r="F18" s="42">
        <v>18</v>
      </c>
      <c r="G18" s="42">
        <v>2500</v>
      </c>
      <c r="H18" s="42">
        <v>5000</v>
      </c>
      <c r="I18" s="42">
        <v>2</v>
      </c>
      <c r="J18" s="45">
        <f>(H18*2*0.001)*I18</f>
        <v>20</v>
      </c>
      <c r="K18" s="45" t="s">
        <v>860</v>
      </c>
      <c r="L18" s="46">
        <f>VLOOKUP(F18,BM!$B$3:$Y$58,6,FALSE)</f>
        <v>1</v>
      </c>
      <c r="M18" s="46"/>
      <c r="N18" s="46">
        <f>J18*L18</f>
        <v>20</v>
      </c>
      <c r="O18" s="46">
        <v>1</v>
      </c>
      <c r="P18" s="46">
        <f>N18+O18</f>
        <v>21</v>
      </c>
    </row>
    <row r="19" spans="3:16" ht="18.75" customHeight="1">
      <c r="C19" s="40" t="s">
        <v>865</v>
      </c>
      <c r="D19" s="40" t="s">
        <v>859</v>
      </c>
      <c r="E19" s="41"/>
      <c r="F19" s="42">
        <v>18</v>
      </c>
      <c r="G19" s="42">
        <v>2000</v>
      </c>
      <c r="H19" s="42">
        <v>5000</v>
      </c>
      <c r="I19" s="42">
        <v>1</v>
      </c>
      <c r="J19" s="45">
        <f>(H19*2*0.001)*I19</f>
        <v>10</v>
      </c>
      <c r="K19" s="45" t="s">
        <v>860</v>
      </c>
      <c r="L19" s="46">
        <f>VLOOKUP(F19,BM!$B$3:$Y$58,6,FALSE)</f>
        <v>1</v>
      </c>
      <c r="M19" s="46"/>
      <c r="N19" s="46">
        <f>J19*L19</f>
        <v>10</v>
      </c>
      <c r="O19" s="46">
        <v>1</v>
      </c>
      <c r="P19" s="46">
        <f>N19+O19</f>
        <v>11</v>
      </c>
    </row>
    <row r="20" spans="3:16" ht="18.75" customHeight="1">
      <c r="C20" s="40" t="s">
        <v>865</v>
      </c>
      <c r="D20" s="40" t="s">
        <v>859</v>
      </c>
      <c r="E20" s="41"/>
      <c r="F20" s="42">
        <v>18</v>
      </c>
      <c r="G20" s="42">
        <v>1250</v>
      </c>
      <c r="H20" s="42">
        <v>5000</v>
      </c>
      <c r="I20" s="42">
        <v>1</v>
      </c>
      <c r="J20" s="45">
        <f>(H20*2*0.001)*I20</f>
        <v>10</v>
      </c>
      <c r="K20" s="45" t="s">
        <v>860</v>
      </c>
      <c r="L20" s="46">
        <f>VLOOKUP(F20,BM!$B$3:$Y$58,6,FALSE)</f>
        <v>1</v>
      </c>
      <c r="M20" s="46"/>
      <c r="N20" s="46">
        <f>J20*L20</f>
        <v>10</v>
      </c>
      <c r="O20" s="46">
        <v>1</v>
      </c>
      <c r="P20" s="46">
        <f>N20+O20</f>
        <v>11</v>
      </c>
    </row>
    <row r="21" spans="3:16" ht="18.75" customHeight="1">
      <c r="J21" s="47"/>
      <c r="K21" s="47"/>
      <c r="L21" s="48"/>
      <c r="M21" s="48"/>
      <c r="N21" s="48"/>
      <c r="O21" s="48"/>
      <c r="P21" s="48"/>
    </row>
    <row r="22" spans="3:16" ht="18.75" customHeight="1">
      <c r="C22" s="40" t="s">
        <v>866</v>
      </c>
      <c r="D22" s="40" t="s">
        <v>859</v>
      </c>
      <c r="E22" s="41"/>
      <c r="F22" s="42">
        <v>18</v>
      </c>
      <c r="G22" s="42">
        <v>2500</v>
      </c>
      <c r="H22" s="42">
        <v>5000</v>
      </c>
      <c r="I22" s="42">
        <v>1</v>
      </c>
      <c r="J22" s="45">
        <v>1</v>
      </c>
      <c r="K22" s="45" t="s">
        <v>39</v>
      </c>
      <c r="L22" s="46">
        <f>VLOOKUP(F22,BM!$B$3:$Y$58,7,FALSE)</f>
        <v>2</v>
      </c>
      <c r="M22" s="46"/>
      <c r="N22" s="46">
        <f>J22*L22</f>
        <v>2</v>
      </c>
      <c r="O22" s="46">
        <v>1</v>
      </c>
      <c r="P22" s="46">
        <f>N22+O22</f>
        <v>3</v>
      </c>
    </row>
    <row r="23" spans="3:16" ht="18.75" customHeight="1">
      <c r="C23" s="40" t="s">
        <v>866</v>
      </c>
      <c r="D23" s="40" t="s">
        <v>859</v>
      </c>
      <c r="E23" s="41"/>
      <c r="F23" s="42">
        <v>18</v>
      </c>
      <c r="G23" s="42">
        <v>2500</v>
      </c>
      <c r="H23" s="42">
        <v>5000</v>
      </c>
      <c r="I23" s="42">
        <v>1</v>
      </c>
      <c r="J23" s="45">
        <v>1</v>
      </c>
      <c r="K23" s="45" t="s">
        <v>39</v>
      </c>
      <c r="L23" s="46">
        <f>VLOOKUP(F23,BM!$B$3:$Y$58,7,FALSE)</f>
        <v>2</v>
      </c>
      <c r="M23" s="46"/>
      <c r="N23" s="46">
        <f>J23*L23</f>
        <v>2</v>
      </c>
      <c r="O23" s="46">
        <v>1</v>
      </c>
      <c r="P23" s="46">
        <f>N23+O23</f>
        <v>3</v>
      </c>
    </row>
    <row r="24" spans="3:16" ht="18.75" customHeight="1">
      <c r="C24" s="40" t="s">
        <v>866</v>
      </c>
      <c r="D24" s="40" t="s">
        <v>859</v>
      </c>
      <c r="E24" s="41"/>
      <c r="F24" s="42">
        <v>18</v>
      </c>
      <c r="G24" s="42">
        <v>2000</v>
      </c>
      <c r="H24" s="42">
        <v>5000</v>
      </c>
      <c r="I24" s="42">
        <v>1</v>
      </c>
      <c r="J24" s="45">
        <v>1</v>
      </c>
      <c r="K24" s="45" t="s">
        <v>564</v>
      </c>
      <c r="L24" s="46">
        <f>VLOOKUP(F24,BM!$B$3:$Y$58,7,FALSE)</f>
        <v>2</v>
      </c>
      <c r="M24" s="46"/>
      <c r="N24" s="46">
        <f>J24*L24</f>
        <v>2</v>
      </c>
      <c r="O24" s="46">
        <v>1</v>
      </c>
      <c r="P24" s="46">
        <f>N24+O24</f>
        <v>3</v>
      </c>
    </row>
    <row r="25" spans="3:16" ht="18.75" customHeight="1">
      <c r="C25" s="40" t="s">
        <v>866</v>
      </c>
      <c r="D25" s="40" t="s">
        <v>859</v>
      </c>
      <c r="E25" s="41"/>
      <c r="F25" s="42">
        <v>18</v>
      </c>
      <c r="G25" s="42">
        <v>1250</v>
      </c>
      <c r="H25" s="42">
        <v>5000</v>
      </c>
      <c r="I25" s="42">
        <v>1</v>
      </c>
      <c r="J25" s="45">
        <v>1</v>
      </c>
      <c r="K25" s="45" t="s">
        <v>564</v>
      </c>
      <c r="L25" s="46">
        <f>VLOOKUP(F25,BM!$B$3:$Y$58,7,FALSE)</f>
        <v>2</v>
      </c>
      <c r="M25" s="46"/>
      <c r="N25" s="46">
        <f>J25*L25</f>
        <v>2</v>
      </c>
      <c r="O25" s="46">
        <v>1</v>
      </c>
      <c r="P25" s="46">
        <f>N25+O25</f>
        <v>3</v>
      </c>
    </row>
    <row r="26" spans="3:16" ht="18.75" customHeight="1">
      <c r="J26" s="47"/>
      <c r="K26" s="47"/>
      <c r="L26" s="48"/>
      <c r="M26" s="48"/>
      <c r="N26" s="48"/>
      <c r="O26" s="48"/>
      <c r="P26" s="48"/>
    </row>
    <row r="27" spans="3:16" ht="18.75" customHeight="1">
      <c r="C27" s="40" t="s">
        <v>867</v>
      </c>
      <c r="D27" s="40" t="s">
        <v>859</v>
      </c>
      <c r="E27" s="41"/>
      <c r="F27" s="42">
        <v>18</v>
      </c>
      <c r="G27" s="42">
        <v>2500</v>
      </c>
      <c r="H27" s="42">
        <v>5000</v>
      </c>
      <c r="I27" s="42">
        <v>1</v>
      </c>
      <c r="J27" s="45">
        <f>G27*0.001*2</f>
        <v>5</v>
      </c>
      <c r="K27" s="45" t="s">
        <v>860</v>
      </c>
      <c r="L27" s="46">
        <f>VLOOKUP(F27,BM!$B$3:$Y$58,8,FALSE)</f>
        <v>0.3</v>
      </c>
      <c r="M27" s="46"/>
      <c r="N27" s="46">
        <f>J27*L27</f>
        <v>1.5</v>
      </c>
      <c r="O27" s="46">
        <v>1</v>
      </c>
      <c r="P27" s="46">
        <f>N27+O27</f>
        <v>2.5</v>
      </c>
    </row>
    <row r="28" spans="3:16" ht="18.75" customHeight="1">
      <c r="C28" s="40" t="s">
        <v>867</v>
      </c>
      <c r="D28" s="40" t="s">
        <v>859</v>
      </c>
      <c r="E28" s="41"/>
      <c r="F28" s="42">
        <v>18</v>
      </c>
      <c r="G28" s="42">
        <v>2500</v>
      </c>
      <c r="H28" s="42">
        <v>5000</v>
      </c>
      <c r="I28" s="42">
        <v>1</v>
      </c>
      <c r="J28" s="45">
        <f>G28*0.001*2</f>
        <v>5</v>
      </c>
      <c r="K28" s="45" t="s">
        <v>860</v>
      </c>
      <c r="L28" s="46">
        <f>VLOOKUP(F28,BM!$B$3:$Y$58,8,FALSE)</f>
        <v>0.3</v>
      </c>
      <c r="M28" s="46"/>
      <c r="N28" s="46">
        <f>J28*L28</f>
        <v>1.5</v>
      </c>
      <c r="O28" s="46">
        <v>1</v>
      </c>
      <c r="P28" s="46">
        <f>N28+O28</f>
        <v>2.5</v>
      </c>
    </row>
    <row r="29" spans="3:16" ht="18.75" customHeight="1">
      <c r="C29" s="40" t="s">
        <v>867</v>
      </c>
      <c r="D29" s="40" t="s">
        <v>859</v>
      </c>
      <c r="E29" s="41"/>
      <c r="F29" s="42">
        <v>18</v>
      </c>
      <c r="G29" s="42">
        <v>2000</v>
      </c>
      <c r="H29" s="42">
        <v>5000</v>
      </c>
      <c r="I29" s="42">
        <v>1</v>
      </c>
      <c r="J29" s="45">
        <f>G29*0.001*2</f>
        <v>4</v>
      </c>
      <c r="K29" s="45" t="s">
        <v>860</v>
      </c>
      <c r="L29" s="46">
        <f>VLOOKUP(F29,BM!$B$3:$Y$58,8,FALSE)</f>
        <v>0.3</v>
      </c>
      <c r="M29" s="46"/>
      <c r="N29" s="46">
        <f>J29*L29</f>
        <v>1.2</v>
      </c>
      <c r="O29" s="46">
        <v>1</v>
      </c>
      <c r="P29" s="46">
        <f>N29+O29</f>
        <v>2.2000000000000002</v>
      </c>
    </row>
    <row r="30" spans="3:16" ht="18.75" customHeight="1">
      <c r="C30" s="40" t="s">
        <v>867</v>
      </c>
      <c r="D30" s="40" t="s">
        <v>859</v>
      </c>
      <c r="E30" s="41"/>
      <c r="F30" s="42">
        <v>18</v>
      </c>
      <c r="G30" s="42">
        <v>1250</v>
      </c>
      <c r="H30" s="42">
        <v>5000</v>
      </c>
      <c r="I30" s="42">
        <v>1</v>
      </c>
      <c r="J30" s="45">
        <f>G30*0.001*2</f>
        <v>2.5</v>
      </c>
      <c r="K30" s="45" t="s">
        <v>860</v>
      </c>
      <c r="L30" s="46">
        <f>VLOOKUP(F30,BM!$B$3:$Y$58,8,FALSE)</f>
        <v>0.3</v>
      </c>
      <c r="M30" s="46"/>
      <c r="N30" s="46">
        <f>J30*L30</f>
        <v>0.75</v>
      </c>
      <c r="O30" s="46">
        <v>1</v>
      </c>
      <c r="P30" s="46">
        <f>N30+O30</f>
        <v>1.75</v>
      </c>
    </row>
    <row r="31" spans="3:16" ht="18.75" customHeight="1">
      <c r="J31" s="47"/>
      <c r="K31" s="47"/>
      <c r="L31" s="48"/>
      <c r="M31" s="48"/>
      <c r="N31" s="48"/>
      <c r="O31" s="48"/>
      <c r="P31" s="48"/>
    </row>
    <row r="32" spans="3:16" ht="18.75" customHeight="1">
      <c r="C32" s="40" t="s">
        <v>868</v>
      </c>
      <c r="D32" s="40" t="s">
        <v>859</v>
      </c>
      <c r="E32" s="41"/>
      <c r="F32" s="42">
        <v>18</v>
      </c>
      <c r="G32" s="42">
        <v>2500</v>
      </c>
      <c r="H32" s="42">
        <v>4769</v>
      </c>
      <c r="I32" s="42">
        <v>2</v>
      </c>
      <c r="J32" s="45">
        <f>G32*0.001*2</f>
        <v>5</v>
      </c>
      <c r="K32" s="45" t="s">
        <v>860</v>
      </c>
      <c r="L32" s="46">
        <f>VLOOKUP(F32,BM!$B$3:$Y$58,9,FALSE)</f>
        <v>1</v>
      </c>
      <c r="M32" s="46"/>
      <c r="N32" s="46">
        <f>J32*L32</f>
        <v>5</v>
      </c>
      <c r="O32" s="46">
        <v>1</v>
      </c>
      <c r="P32" s="46">
        <f>N32+O32</f>
        <v>6</v>
      </c>
    </row>
    <row r="33" spans="3:16" ht="18.75" customHeight="1">
      <c r="C33" s="40" t="s">
        <v>868</v>
      </c>
      <c r="D33" s="40" t="s">
        <v>859</v>
      </c>
      <c r="E33" s="41"/>
      <c r="F33" s="42">
        <v>18</v>
      </c>
      <c r="G33" s="42">
        <v>2500</v>
      </c>
      <c r="H33" s="42">
        <v>4769</v>
      </c>
      <c r="I33" s="42">
        <v>1</v>
      </c>
      <c r="J33" s="45">
        <f>G33*0.001*2</f>
        <v>5</v>
      </c>
      <c r="K33" s="45" t="s">
        <v>860</v>
      </c>
      <c r="L33" s="46">
        <f>VLOOKUP(F33,BM!$B$3:$Y$58,9,FALSE)</f>
        <v>1</v>
      </c>
      <c r="M33" s="46"/>
      <c r="N33" s="46">
        <f>J33*L33</f>
        <v>5</v>
      </c>
      <c r="O33" s="46">
        <v>1</v>
      </c>
      <c r="P33" s="46">
        <f>N33+O33</f>
        <v>6</v>
      </c>
    </row>
    <row r="34" spans="3:16" ht="18.75" customHeight="1">
      <c r="C34" s="40" t="s">
        <v>868</v>
      </c>
      <c r="D34" s="40" t="s">
        <v>859</v>
      </c>
      <c r="E34" s="41"/>
      <c r="F34" s="42">
        <v>18</v>
      </c>
      <c r="G34" s="42">
        <v>2000</v>
      </c>
      <c r="H34" s="42">
        <v>4769</v>
      </c>
      <c r="I34" s="42">
        <v>1</v>
      </c>
      <c r="J34" s="45">
        <f>G34*0.001*2</f>
        <v>4</v>
      </c>
      <c r="K34" s="45" t="s">
        <v>860</v>
      </c>
      <c r="L34" s="46">
        <f>VLOOKUP(F34,BM!$B$3:$Y$58,9,FALSE)</f>
        <v>1</v>
      </c>
      <c r="M34" s="46"/>
      <c r="N34" s="46">
        <f>J34*L34</f>
        <v>4</v>
      </c>
      <c r="O34" s="46">
        <v>1</v>
      </c>
      <c r="P34" s="46">
        <f>N34+O34</f>
        <v>5</v>
      </c>
    </row>
    <row r="35" spans="3:16" ht="18.75" customHeight="1">
      <c r="C35" s="40" t="s">
        <v>868</v>
      </c>
      <c r="D35" s="40" t="s">
        <v>859</v>
      </c>
      <c r="E35" s="41"/>
      <c r="F35" s="42">
        <v>18</v>
      </c>
      <c r="G35" s="42">
        <v>1250</v>
      </c>
      <c r="H35" s="42">
        <v>4769</v>
      </c>
      <c r="I35" s="42">
        <v>1</v>
      </c>
      <c r="J35" s="45">
        <f>G35*0.001*2</f>
        <v>2.5</v>
      </c>
      <c r="K35" s="45" t="s">
        <v>860</v>
      </c>
      <c r="L35" s="46">
        <f>VLOOKUP(F35,BM!$B$3:$Y$58,9,FALSE)</f>
        <v>1</v>
      </c>
      <c r="M35" s="46"/>
      <c r="N35" s="46">
        <f>J35*L35</f>
        <v>2.5</v>
      </c>
      <c r="O35" s="46">
        <v>1</v>
      </c>
      <c r="P35" s="46">
        <f>N35+O35</f>
        <v>3.5</v>
      </c>
    </row>
    <row r="36" spans="3:16" ht="18.75" customHeight="1">
      <c r="J36" s="47"/>
      <c r="K36" s="47"/>
      <c r="L36" s="48"/>
      <c r="M36" s="48"/>
      <c r="N36" s="48"/>
      <c r="O36" s="48"/>
      <c r="P36" s="48"/>
    </row>
    <row r="37" spans="3:16" ht="18.75" customHeight="1">
      <c r="C37" s="40" t="s">
        <v>869</v>
      </c>
      <c r="D37" s="40" t="s">
        <v>859</v>
      </c>
      <c r="E37" s="41"/>
      <c r="F37" s="42">
        <v>18</v>
      </c>
      <c r="G37" s="42">
        <v>2500</v>
      </c>
      <c r="H37" s="42">
        <v>4769</v>
      </c>
      <c r="I37" s="42">
        <v>1</v>
      </c>
      <c r="J37" s="45">
        <f>G37*0.001*I37</f>
        <v>2.5</v>
      </c>
      <c r="K37" s="45" t="s">
        <v>870</v>
      </c>
      <c r="L37" s="46">
        <f>VLOOKUP(F37,BM!$B$3:$Y$58,9,FALSE)</f>
        <v>1</v>
      </c>
      <c r="M37" s="46"/>
      <c r="N37" s="46">
        <f>J37*L37</f>
        <v>2.5</v>
      </c>
      <c r="O37" s="46">
        <v>1</v>
      </c>
      <c r="P37" s="46">
        <f>N37+O37</f>
        <v>3.5</v>
      </c>
    </row>
    <row r="38" spans="3:16" ht="18.75" customHeight="1">
      <c r="C38" s="40" t="s">
        <v>869</v>
      </c>
      <c r="D38" s="40" t="s">
        <v>859</v>
      </c>
      <c r="E38" s="41"/>
      <c r="F38" s="42">
        <v>24</v>
      </c>
      <c r="G38" s="42">
        <v>2500</v>
      </c>
      <c r="H38" s="42">
        <v>4769</v>
      </c>
      <c r="I38" s="42">
        <v>1</v>
      </c>
      <c r="J38" s="45">
        <f>G38*0.001*I38</f>
        <v>2.5</v>
      </c>
      <c r="K38" s="45" t="s">
        <v>870</v>
      </c>
      <c r="L38" s="46">
        <f>VLOOKUP(F38,BM!$B$3:$Y$58,9,FALSE)</f>
        <v>1</v>
      </c>
      <c r="M38" s="46"/>
      <c r="N38" s="46">
        <f>J38*L38</f>
        <v>2.5</v>
      </c>
      <c r="O38" s="46">
        <v>1</v>
      </c>
      <c r="P38" s="46">
        <f>N38+O38</f>
        <v>3.5</v>
      </c>
    </row>
    <row r="39" spans="3:16" ht="18.75" customHeight="1">
      <c r="C39" s="40" t="s">
        <v>869</v>
      </c>
      <c r="D39" s="40" t="s">
        <v>859</v>
      </c>
      <c r="E39" s="41"/>
      <c r="F39" s="42">
        <v>24</v>
      </c>
      <c r="G39" s="42">
        <v>2000</v>
      </c>
      <c r="H39" s="42">
        <v>4769</v>
      </c>
      <c r="I39" s="42">
        <v>1</v>
      </c>
      <c r="J39" s="45">
        <f>G39*0.001*I39</f>
        <v>2</v>
      </c>
      <c r="K39" s="45" t="s">
        <v>870</v>
      </c>
      <c r="L39" s="46">
        <f>VLOOKUP(F39,BM!$B$3:$Y$58,9,FALSE)</f>
        <v>1</v>
      </c>
      <c r="M39" s="46"/>
      <c r="N39" s="46">
        <f>J39*L39</f>
        <v>2</v>
      </c>
      <c r="O39" s="46">
        <v>1</v>
      </c>
      <c r="P39" s="46">
        <f>N39+O39</f>
        <v>3</v>
      </c>
    </row>
    <row r="40" spans="3:16" ht="18.75" customHeight="1">
      <c r="C40" s="40" t="s">
        <v>869</v>
      </c>
      <c r="D40" s="40" t="s">
        <v>859</v>
      </c>
      <c r="E40" s="41"/>
      <c r="F40" s="42">
        <v>24</v>
      </c>
      <c r="G40" s="42">
        <v>1250</v>
      </c>
      <c r="H40" s="42">
        <v>4769</v>
      </c>
      <c r="I40" s="42">
        <v>1</v>
      </c>
      <c r="J40" s="45">
        <f>G40*0.001*I40</f>
        <v>1.25</v>
      </c>
      <c r="K40" s="45" t="s">
        <v>870</v>
      </c>
      <c r="L40" s="46">
        <f>VLOOKUP(F40,BM!$B$3:$Y$58,9,FALSE)</f>
        <v>1</v>
      </c>
      <c r="M40" s="46"/>
      <c r="N40" s="46">
        <f>J40*L40</f>
        <v>1.25</v>
      </c>
      <c r="O40" s="46">
        <v>1</v>
      </c>
      <c r="P40" s="46">
        <f>N40+O40</f>
        <v>2.25</v>
      </c>
    </row>
    <row r="41" spans="3:16" ht="18.75" customHeight="1">
      <c r="C41" s="34"/>
      <c r="D41" s="34"/>
      <c r="E41" s="34"/>
    </row>
    <row r="42" spans="3:16" ht="18.75" customHeight="1">
      <c r="C42" s="40" t="s">
        <v>871</v>
      </c>
      <c r="D42" s="40" t="s">
        <v>859</v>
      </c>
      <c r="E42" s="41" t="s">
        <v>581</v>
      </c>
      <c r="F42" s="42">
        <v>24</v>
      </c>
      <c r="G42" s="42">
        <v>2500</v>
      </c>
      <c r="H42" s="42">
        <v>4769</v>
      </c>
      <c r="I42" s="42">
        <v>1</v>
      </c>
      <c r="J42" s="45">
        <v>1</v>
      </c>
      <c r="K42" s="45" t="s">
        <v>39</v>
      </c>
      <c r="L42" s="46">
        <v>3</v>
      </c>
      <c r="M42" s="46"/>
      <c r="N42" s="46">
        <f>J42*L42</f>
        <v>3</v>
      </c>
      <c r="O42" s="46">
        <v>1</v>
      </c>
      <c r="P42" s="46">
        <f>N42+O42</f>
        <v>4</v>
      </c>
    </row>
    <row r="43" spans="3:16" ht="18.75" customHeight="1">
      <c r="C43" s="40" t="s">
        <v>871</v>
      </c>
      <c r="D43" s="40" t="s">
        <v>859</v>
      </c>
      <c r="E43" s="41" t="s">
        <v>581</v>
      </c>
      <c r="F43" s="42">
        <v>24</v>
      </c>
      <c r="G43" s="42">
        <v>2500</v>
      </c>
      <c r="H43" s="42">
        <v>4769</v>
      </c>
      <c r="I43" s="42">
        <v>1</v>
      </c>
      <c r="J43" s="45">
        <v>1</v>
      </c>
      <c r="K43" s="45" t="s">
        <v>39</v>
      </c>
      <c r="L43" s="46">
        <v>3</v>
      </c>
      <c r="M43" s="46"/>
      <c r="N43" s="46">
        <f>J43*L43</f>
        <v>3</v>
      </c>
      <c r="O43" s="46">
        <v>1</v>
      </c>
      <c r="P43" s="46">
        <f>N43+O43</f>
        <v>4</v>
      </c>
    </row>
    <row r="44" spans="3:16" ht="18.75" customHeight="1">
      <c r="C44" s="40" t="s">
        <v>871</v>
      </c>
      <c r="D44" s="40" t="s">
        <v>859</v>
      </c>
      <c r="E44" s="41" t="s">
        <v>581</v>
      </c>
      <c r="F44" s="42">
        <v>24</v>
      </c>
      <c r="G44" s="42">
        <v>2000</v>
      </c>
      <c r="H44" s="42">
        <v>4769</v>
      </c>
      <c r="I44" s="42">
        <v>1</v>
      </c>
      <c r="J44" s="45">
        <v>1</v>
      </c>
      <c r="K44" s="45" t="s">
        <v>39</v>
      </c>
      <c r="L44" s="46">
        <v>3</v>
      </c>
      <c r="M44" s="46"/>
      <c r="N44" s="46">
        <f>J44*L44</f>
        <v>3</v>
      </c>
      <c r="O44" s="46">
        <v>1</v>
      </c>
      <c r="P44" s="46">
        <f>N44+O44</f>
        <v>4</v>
      </c>
    </row>
    <row r="45" spans="3:16" ht="18.75" customHeight="1">
      <c r="C45" s="40" t="s">
        <v>871</v>
      </c>
      <c r="D45" s="40" t="s">
        <v>859</v>
      </c>
      <c r="E45" s="41" t="s">
        <v>581</v>
      </c>
      <c r="F45" s="42">
        <v>24</v>
      </c>
      <c r="G45" s="42">
        <v>1250</v>
      </c>
      <c r="H45" s="42">
        <v>4769</v>
      </c>
      <c r="I45" s="42">
        <v>1</v>
      </c>
      <c r="J45" s="45">
        <v>1</v>
      </c>
      <c r="K45" s="45" t="s">
        <v>39</v>
      </c>
      <c r="L45" s="46">
        <v>3</v>
      </c>
      <c r="M45" s="46"/>
      <c r="N45" s="46">
        <f>J45*L45</f>
        <v>3</v>
      </c>
      <c r="O45" s="46">
        <v>1</v>
      </c>
      <c r="P45" s="46">
        <f>N45+O45</f>
        <v>4</v>
      </c>
    </row>
    <row r="46" spans="3:16" ht="18.75" customHeight="1">
      <c r="J46" s="47"/>
      <c r="K46" s="47"/>
      <c r="L46" s="48"/>
      <c r="M46" s="48"/>
      <c r="N46" s="48"/>
      <c r="O46" s="48"/>
      <c r="P46" s="48"/>
    </row>
    <row r="47" spans="3:16" ht="18.75" customHeight="1">
      <c r="C47" s="40" t="s">
        <v>872</v>
      </c>
      <c r="D47" s="40" t="s">
        <v>859</v>
      </c>
      <c r="E47" s="41"/>
      <c r="F47" s="42">
        <v>24</v>
      </c>
      <c r="G47" s="44">
        <v>2500</v>
      </c>
      <c r="H47" s="42" t="s">
        <v>873</v>
      </c>
      <c r="I47" s="42">
        <v>1</v>
      </c>
      <c r="J47" s="45">
        <f>G47*0.001*I47</f>
        <v>2.5</v>
      </c>
      <c r="K47" s="45" t="s">
        <v>870</v>
      </c>
      <c r="L47" s="46">
        <f>VLOOKUP(F47,BM!$B$3:$Y$58,10,FALSE)</f>
        <v>1</v>
      </c>
      <c r="M47" s="46"/>
      <c r="N47" s="46">
        <f>J47*L47</f>
        <v>2.5</v>
      </c>
      <c r="O47" s="46">
        <v>1</v>
      </c>
      <c r="P47" s="46">
        <f>N47+O47</f>
        <v>3.5</v>
      </c>
    </row>
    <row r="48" spans="3:16" ht="18.75" customHeight="1">
      <c r="C48" s="40" t="s">
        <v>872</v>
      </c>
      <c r="D48" s="40" t="s">
        <v>859</v>
      </c>
      <c r="E48" s="41"/>
      <c r="F48" s="42">
        <v>24</v>
      </c>
      <c r="G48" s="44">
        <v>2500</v>
      </c>
      <c r="H48" s="42" t="s">
        <v>873</v>
      </c>
      <c r="I48" s="42">
        <v>1</v>
      </c>
      <c r="J48" s="45">
        <f>G48*0.001*I48</f>
        <v>2.5</v>
      </c>
      <c r="K48" s="45" t="s">
        <v>870</v>
      </c>
      <c r="L48" s="46">
        <f>VLOOKUP(F48,BM!$B$3:$Y$58,10,FALSE)</f>
        <v>1</v>
      </c>
      <c r="M48" s="46"/>
      <c r="N48" s="46">
        <f>J48*L48</f>
        <v>2.5</v>
      </c>
      <c r="O48" s="46">
        <v>1</v>
      </c>
      <c r="P48" s="46">
        <f>N48+O48</f>
        <v>3.5</v>
      </c>
    </row>
    <row r="49" spans="3:16" ht="18.75" customHeight="1">
      <c r="C49" s="40" t="s">
        <v>872</v>
      </c>
      <c r="D49" s="40" t="s">
        <v>859</v>
      </c>
      <c r="E49" s="41"/>
      <c r="F49" s="42">
        <v>24</v>
      </c>
      <c r="G49" s="44">
        <v>2000</v>
      </c>
      <c r="H49" s="42" t="s">
        <v>873</v>
      </c>
      <c r="I49" s="42">
        <v>1</v>
      </c>
      <c r="J49" s="45">
        <f>G49*0.001*I49</f>
        <v>2</v>
      </c>
      <c r="K49" s="45" t="s">
        <v>870</v>
      </c>
      <c r="L49" s="46">
        <f>VLOOKUP(F49,BM!$B$3:$Y$58,10,FALSE)</f>
        <v>1</v>
      </c>
      <c r="M49" s="46"/>
      <c r="N49" s="46">
        <f>J49*L49</f>
        <v>2</v>
      </c>
      <c r="O49" s="46">
        <v>1</v>
      </c>
      <c r="P49" s="46">
        <f>N49+O49</f>
        <v>3</v>
      </c>
    </row>
    <row r="50" spans="3:16" ht="18.75" customHeight="1">
      <c r="C50" s="40" t="s">
        <v>872</v>
      </c>
      <c r="D50" s="40" t="s">
        <v>859</v>
      </c>
      <c r="E50" s="41"/>
      <c r="F50" s="42">
        <v>24</v>
      </c>
      <c r="G50" s="44">
        <v>1250</v>
      </c>
      <c r="H50" s="42" t="s">
        <v>873</v>
      </c>
      <c r="I50" s="42">
        <v>1</v>
      </c>
      <c r="J50" s="45">
        <f>G50*0.001*I50</f>
        <v>1.25</v>
      </c>
      <c r="K50" s="45" t="s">
        <v>870</v>
      </c>
      <c r="L50" s="46">
        <f>VLOOKUP(F50,BM!$B$3:$Y$58,10,FALSE)</f>
        <v>1</v>
      </c>
      <c r="M50" s="46"/>
      <c r="N50" s="46">
        <f>J50*L50</f>
        <v>1.25</v>
      </c>
      <c r="O50" s="46">
        <v>1</v>
      </c>
      <c r="P50" s="46">
        <f>N50+O50</f>
        <v>2.25</v>
      </c>
    </row>
    <row r="51" spans="3:16" ht="18.75" customHeight="1">
      <c r="J51" s="47"/>
      <c r="K51" s="47"/>
      <c r="L51" s="48"/>
      <c r="M51" s="48"/>
      <c r="N51" s="48"/>
      <c r="O51" s="48"/>
      <c r="P51" s="48"/>
    </row>
    <row r="52" spans="3:16" ht="18.75" customHeight="1">
      <c r="C52" s="40" t="s">
        <v>874</v>
      </c>
      <c r="D52" s="40" t="s">
        <v>859</v>
      </c>
      <c r="E52" s="41" t="s">
        <v>581</v>
      </c>
      <c r="F52" s="42">
        <v>24</v>
      </c>
      <c r="G52" s="44">
        <v>2500</v>
      </c>
      <c r="H52" s="42" t="s">
        <v>873</v>
      </c>
      <c r="I52" s="42">
        <v>1</v>
      </c>
      <c r="J52" s="45">
        <f>G52*0.001*I52</f>
        <v>2.5</v>
      </c>
      <c r="K52" s="45" t="s">
        <v>870</v>
      </c>
      <c r="L52" s="46">
        <v>1</v>
      </c>
      <c r="M52" s="46"/>
      <c r="N52" s="46">
        <f>J52*L52</f>
        <v>2.5</v>
      </c>
      <c r="O52" s="46">
        <v>1</v>
      </c>
      <c r="P52" s="46">
        <f>N52+O52</f>
        <v>3.5</v>
      </c>
    </row>
    <row r="53" spans="3:16" ht="18.75" customHeight="1">
      <c r="C53" s="40" t="s">
        <v>874</v>
      </c>
      <c r="D53" s="40" t="s">
        <v>859</v>
      </c>
      <c r="E53" s="41" t="s">
        <v>581</v>
      </c>
      <c r="F53" s="42">
        <v>24</v>
      </c>
      <c r="G53" s="44">
        <v>2500</v>
      </c>
      <c r="H53" s="42" t="s">
        <v>873</v>
      </c>
      <c r="I53" s="42">
        <v>1</v>
      </c>
      <c r="J53" s="45">
        <f t="shared" ref="J53:J55" si="0">G53*0.001*I53</f>
        <v>2.5</v>
      </c>
      <c r="K53" s="45" t="s">
        <v>870</v>
      </c>
      <c r="L53" s="46">
        <v>1</v>
      </c>
      <c r="M53" s="46"/>
      <c r="N53" s="46">
        <f t="shared" ref="N53:N55" si="1">J53*L53</f>
        <v>2.5</v>
      </c>
      <c r="O53" s="46">
        <v>1</v>
      </c>
      <c r="P53" s="46">
        <f t="shared" ref="P53:P55" si="2">N53+O53</f>
        <v>3.5</v>
      </c>
    </row>
    <row r="54" spans="3:16" ht="18.75" customHeight="1">
      <c r="C54" s="40" t="s">
        <v>874</v>
      </c>
      <c r="D54" s="40" t="s">
        <v>859</v>
      </c>
      <c r="E54" s="41" t="s">
        <v>581</v>
      </c>
      <c r="F54" s="42">
        <v>24</v>
      </c>
      <c r="G54" s="44">
        <v>2000</v>
      </c>
      <c r="H54" s="42" t="s">
        <v>873</v>
      </c>
      <c r="I54" s="42">
        <v>1</v>
      </c>
      <c r="J54" s="45">
        <f t="shared" si="0"/>
        <v>2</v>
      </c>
      <c r="K54" s="45" t="s">
        <v>870</v>
      </c>
      <c r="L54" s="46">
        <v>1</v>
      </c>
      <c r="M54" s="46"/>
      <c r="N54" s="46">
        <f t="shared" si="1"/>
        <v>2</v>
      </c>
      <c r="O54" s="46">
        <v>1</v>
      </c>
      <c r="P54" s="46">
        <f t="shared" si="2"/>
        <v>3</v>
      </c>
    </row>
    <row r="55" spans="3:16" ht="18.75" customHeight="1">
      <c r="C55" s="40" t="s">
        <v>874</v>
      </c>
      <c r="D55" s="40" t="s">
        <v>859</v>
      </c>
      <c r="E55" s="41" t="s">
        <v>581</v>
      </c>
      <c r="F55" s="42">
        <v>24</v>
      </c>
      <c r="G55" s="44">
        <v>1250</v>
      </c>
      <c r="H55" s="42" t="s">
        <v>873</v>
      </c>
      <c r="I55" s="42">
        <v>1</v>
      </c>
      <c r="J55" s="45">
        <f t="shared" si="0"/>
        <v>1.25</v>
      </c>
      <c r="K55" s="45" t="s">
        <v>870</v>
      </c>
      <c r="L55" s="46">
        <v>1</v>
      </c>
      <c r="M55" s="46"/>
      <c r="N55" s="46">
        <f t="shared" si="1"/>
        <v>1.25</v>
      </c>
      <c r="O55" s="46">
        <v>1</v>
      </c>
      <c r="P55" s="46">
        <f t="shared" si="2"/>
        <v>2.25</v>
      </c>
    </row>
    <row r="56" spans="3:16" ht="18.75" customHeight="1">
      <c r="J56" s="47"/>
      <c r="K56" s="47"/>
      <c r="L56" s="48"/>
      <c r="M56" s="48"/>
      <c r="N56" s="48"/>
      <c r="O56" s="48"/>
      <c r="P56" s="48"/>
    </row>
    <row r="57" spans="3:16" ht="18.75" customHeight="1">
      <c r="C57" s="40" t="s">
        <v>875</v>
      </c>
      <c r="D57" s="40" t="s">
        <v>859</v>
      </c>
      <c r="E57" s="41" t="s">
        <v>581</v>
      </c>
      <c r="F57" s="42">
        <v>24</v>
      </c>
      <c r="G57" s="42">
        <v>2500</v>
      </c>
      <c r="H57" s="42" t="s">
        <v>873</v>
      </c>
      <c r="I57" s="42">
        <v>1</v>
      </c>
      <c r="J57" s="45">
        <v>1</v>
      </c>
      <c r="K57" s="45" t="s">
        <v>39</v>
      </c>
      <c r="L57" s="49">
        <v>2</v>
      </c>
      <c r="M57" s="49"/>
      <c r="N57" s="46">
        <f>J57*L57</f>
        <v>2</v>
      </c>
      <c r="O57" s="46">
        <v>1</v>
      </c>
      <c r="P57" s="46">
        <f>N57+O57</f>
        <v>3</v>
      </c>
    </row>
    <row r="58" spans="3:16" ht="18.75" customHeight="1">
      <c r="C58" s="40" t="s">
        <v>875</v>
      </c>
      <c r="D58" s="40" t="s">
        <v>859</v>
      </c>
      <c r="E58" s="41" t="s">
        <v>581</v>
      </c>
      <c r="F58" s="42">
        <v>24</v>
      </c>
      <c r="G58" s="42">
        <v>2500</v>
      </c>
      <c r="H58" s="42" t="s">
        <v>873</v>
      </c>
      <c r="I58" s="42">
        <v>1</v>
      </c>
      <c r="J58" s="45">
        <v>1</v>
      </c>
      <c r="K58" s="45" t="s">
        <v>39</v>
      </c>
      <c r="L58" s="49">
        <v>2</v>
      </c>
      <c r="M58" s="49"/>
      <c r="N58" s="46">
        <f>J58*L58</f>
        <v>2</v>
      </c>
      <c r="O58" s="46">
        <v>1</v>
      </c>
      <c r="P58" s="46">
        <f>N58+O58</f>
        <v>3</v>
      </c>
    </row>
    <row r="59" spans="3:16" ht="18.75" customHeight="1">
      <c r="C59" s="40" t="s">
        <v>875</v>
      </c>
      <c r="D59" s="40" t="s">
        <v>859</v>
      </c>
      <c r="E59" s="41" t="s">
        <v>581</v>
      </c>
      <c r="F59" s="42">
        <v>24</v>
      </c>
      <c r="G59" s="42">
        <v>2000</v>
      </c>
      <c r="H59" s="42" t="s">
        <v>873</v>
      </c>
      <c r="I59" s="42">
        <v>1</v>
      </c>
      <c r="J59" s="45">
        <v>1</v>
      </c>
      <c r="K59" s="45" t="s">
        <v>39</v>
      </c>
      <c r="L59" s="49">
        <v>2</v>
      </c>
      <c r="M59" s="49"/>
      <c r="N59" s="46">
        <f>J59*L59</f>
        <v>2</v>
      </c>
      <c r="O59" s="46">
        <v>1</v>
      </c>
      <c r="P59" s="46">
        <f>N59+O59</f>
        <v>3</v>
      </c>
    </row>
    <row r="60" spans="3:16" ht="18.75" customHeight="1">
      <c r="C60" s="40" t="s">
        <v>875</v>
      </c>
      <c r="D60" s="40" t="s">
        <v>859</v>
      </c>
      <c r="E60" s="41" t="s">
        <v>581</v>
      </c>
      <c r="F60" s="42">
        <v>24</v>
      </c>
      <c r="G60" s="42">
        <v>1250</v>
      </c>
      <c r="H60" s="42" t="s">
        <v>873</v>
      </c>
      <c r="I60" s="42">
        <v>1</v>
      </c>
      <c r="J60" s="45">
        <v>1</v>
      </c>
      <c r="K60" s="45" t="s">
        <v>39</v>
      </c>
      <c r="L60" s="49">
        <v>2</v>
      </c>
      <c r="M60" s="49"/>
      <c r="N60" s="46">
        <f>J60*L60</f>
        <v>2</v>
      </c>
      <c r="O60" s="46">
        <v>1</v>
      </c>
      <c r="P60" s="46">
        <f>N60+O60</f>
        <v>3</v>
      </c>
    </row>
    <row r="61" spans="3:16" ht="18.75" customHeight="1">
      <c r="J61" s="47"/>
      <c r="K61" s="47"/>
      <c r="L61" s="48"/>
      <c r="M61" s="48"/>
      <c r="N61" s="48"/>
      <c r="O61" s="48"/>
      <c r="P61" s="48"/>
    </row>
    <row r="62" spans="3:16" ht="18.75" customHeight="1">
      <c r="C62" s="40" t="s">
        <v>876</v>
      </c>
      <c r="D62" s="40" t="s">
        <v>859</v>
      </c>
      <c r="E62" s="41"/>
      <c r="F62" s="42">
        <v>12</v>
      </c>
      <c r="G62" s="42">
        <v>2500</v>
      </c>
      <c r="H62" s="42">
        <v>4769</v>
      </c>
      <c r="I62" s="42">
        <v>1</v>
      </c>
      <c r="J62" s="45">
        <f>H62*0.001*I62</f>
        <v>4.7690000000000001</v>
      </c>
      <c r="K62" s="45" t="s">
        <v>39</v>
      </c>
      <c r="L62" s="49">
        <f>VLOOKUP(F62,BM!$B$3:$Y$58,12,FALSE)</f>
        <v>2.5</v>
      </c>
      <c r="M62" s="49"/>
      <c r="N62" s="46">
        <f>J62*L62</f>
        <v>11.922499999999999</v>
      </c>
      <c r="O62" s="46">
        <v>1</v>
      </c>
      <c r="P62" s="46">
        <f>N62+O62</f>
        <v>12.922499999999999</v>
      </c>
    </row>
    <row r="63" spans="3:16" ht="18.75" customHeight="1">
      <c r="C63" s="40" t="s">
        <v>876</v>
      </c>
      <c r="D63" s="40" t="s">
        <v>859</v>
      </c>
      <c r="E63" s="41"/>
      <c r="F63" s="42">
        <v>12</v>
      </c>
      <c r="G63" s="42">
        <v>2500</v>
      </c>
      <c r="H63" s="42">
        <v>4769</v>
      </c>
      <c r="I63" s="42">
        <v>1</v>
      </c>
      <c r="J63" s="45">
        <f t="shared" ref="J63:J65" si="3">H63*0.001*I63</f>
        <v>4.7690000000000001</v>
      </c>
      <c r="K63" s="45" t="s">
        <v>39</v>
      </c>
      <c r="L63" s="49">
        <f>VLOOKUP(F63,BM!$B$3:$Y$58,12,FALSE)</f>
        <v>2.5</v>
      </c>
      <c r="M63" s="49"/>
      <c r="N63" s="46">
        <f>J63*L63</f>
        <v>11.922499999999999</v>
      </c>
      <c r="O63" s="46">
        <v>1</v>
      </c>
      <c r="P63" s="46">
        <f>N63+O63</f>
        <v>12.922499999999999</v>
      </c>
    </row>
    <row r="64" spans="3:16" ht="18.75" customHeight="1">
      <c r="C64" s="40" t="s">
        <v>876</v>
      </c>
      <c r="D64" s="40" t="s">
        <v>859</v>
      </c>
      <c r="E64" s="41"/>
      <c r="F64" s="42">
        <v>12</v>
      </c>
      <c r="G64" s="42">
        <v>2000</v>
      </c>
      <c r="H64" s="42">
        <v>4769</v>
      </c>
      <c r="I64" s="42">
        <v>1</v>
      </c>
      <c r="J64" s="45">
        <f t="shared" si="3"/>
        <v>4.7690000000000001</v>
      </c>
      <c r="K64" s="45" t="s">
        <v>39</v>
      </c>
      <c r="L64" s="49">
        <f>VLOOKUP(F64,BM!$B$3:$Y$58,12,FALSE)</f>
        <v>2.5</v>
      </c>
      <c r="M64" s="49"/>
      <c r="N64" s="46">
        <f>J64*L64</f>
        <v>11.922499999999999</v>
      </c>
      <c r="O64" s="46">
        <v>1</v>
      </c>
      <c r="P64" s="46">
        <f>N64+O64</f>
        <v>12.922499999999999</v>
      </c>
    </row>
    <row r="65" spans="3:16" ht="18.75" customHeight="1">
      <c r="C65" s="40" t="s">
        <v>876</v>
      </c>
      <c r="D65" s="40" t="s">
        <v>859</v>
      </c>
      <c r="E65" s="41"/>
      <c r="F65" s="42">
        <v>12</v>
      </c>
      <c r="G65" s="42">
        <v>1250</v>
      </c>
      <c r="H65" s="42">
        <v>4769</v>
      </c>
      <c r="I65" s="42">
        <v>1</v>
      </c>
      <c r="J65" s="45">
        <f t="shared" si="3"/>
        <v>4.7690000000000001</v>
      </c>
      <c r="K65" s="45" t="s">
        <v>39</v>
      </c>
      <c r="L65" s="49">
        <f>VLOOKUP(F65,BM!$B$3:$Y$58,12,FALSE)</f>
        <v>2.5</v>
      </c>
      <c r="M65" s="49"/>
      <c r="N65" s="46">
        <f>J65*L65</f>
        <v>11.922499999999999</v>
      </c>
      <c r="O65" s="46">
        <v>1</v>
      </c>
      <c r="P65" s="46">
        <f>N65+O65</f>
        <v>12.922499999999999</v>
      </c>
    </row>
    <row r="66" spans="3:16" ht="18.75" customHeight="1">
      <c r="J66" s="47"/>
      <c r="K66" s="47"/>
      <c r="L66" s="48"/>
      <c r="M66" s="48"/>
      <c r="N66" s="48"/>
      <c r="O66" s="48"/>
      <c r="P66" s="48"/>
    </row>
    <row r="67" spans="3:16" ht="18.75" customHeight="1">
      <c r="C67" s="40" t="s">
        <v>877</v>
      </c>
      <c r="D67" s="40" t="s">
        <v>859</v>
      </c>
      <c r="E67" s="41"/>
      <c r="F67" s="42">
        <v>6</v>
      </c>
      <c r="G67" s="42" t="s">
        <v>878</v>
      </c>
      <c r="H67" s="44">
        <v>2500</v>
      </c>
      <c r="I67" s="42">
        <v>1</v>
      </c>
      <c r="J67" s="45">
        <f>H67*0.001*I67</f>
        <v>2.5</v>
      </c>
      <c r="K67" s="45" t="s">
        <v>39</v>
      </c>
      <c r="L67" s="49">
        <f>VLOOKUP(F67,BM!$B$3:$Y$58,18,FALSE)</f>
        <v>1</v>
      </c>
      <c r="M67" s="49"/>
      <c r="N67" s="46">
        <f>J67*L67</f>
        <v>2.5</v>
      </c>
      <c r="O67" s="46">
        <v>1</v>
      </c>
      <c r="P67" s="46">
        <f>N67+O67</f>
        <v>3.5</v>
      </c>
    </row>
    <row r="68" spans="3:16" ht="18.75" customHeight="1">
      <c r="C68" s="40" t="s">
        <v>877</v>
      </c>
      <c r="D68" s="40" t="s">
        <v>859</v>
      </c>
      <c r="E68" s="41"/>
      <c r="F68" s="42">
        <v>6</v>
      </c>
      <c r="G68" s="42" t="s">
        <v>878</v>
      </c>
      <c r="H68" s="44">
        <v>2500</v>
      </c>
      <c r="I68" s="42">
        <v>1</v>
      </c>
      <c r="J68" s="45">
        <f t="shared" ref="J68:J70" si="4">H68*0.001*I68</f>
        <v>2.5</v>
      </c>
      <c r="K68" s="45" t="s">
        <v>39</v>
      </c>
      <c r="L68" s="49">
        <f>VLOOKUP(F68,BM!$B$3:$Y$58,18,FALSE)</f>
        <v>1</v>
      </c>
      <c r="M68" s="49"/>
      <c r="N68" s="46">
        <f>J68*L68</f>
        <v>2.5</v>
      </c>
      <c r="O68" s="46">
        <v>1</v>
      </c>
      <c r="P68" s="46">
        <f>N68+O68</f>
        <v>3.5</v>
      </c>
    </row>
    <row r="69" spans="3:16" ht="18.75" customHeight="1">
      <c r="C69" s="40" t="s">
        <v>877</v>
      </c>
      <c r="D69" s="40" t="s">
        <v>859</v>
      </c>
      <c r="E69" s="41"/>
      <c r="F69" s="42">
        <v>6</v>
      </c>
      <c r="G69" s="42" t="s">
        <v>878</v>
      </c>
      <c r="H69" s="44">
        <v>2500</v>
      </c>
      <c r="I69" s="42">
        <v>1</v>
      </c>
      <c r="J69" s="45">
        <f t="shared" si="4"/>
        <v>2.5</v>
      </c>
      <c r="K69" s="45" t="s">
        <v>39</v>
      </c>
      <c r="L69" s="49">
        <f>VLOOKUP(F69,BM!$B$3:$Y$58,18,FALSE)</f>
        <v>1</v>
      </c>
      <c r="M69" s="49"/>
      <c r="N69" s="46">
        <f>J69*L69</f>
        <v>2.5</v>
      </c>
      <c r="O69" s="46">
        <v>1</v>
      </c>
      <c r="P69" s="46">
        <f>N69+O69</f>
        <v>3.5</v>
      </c>
    </row>
    <row r="70" spans="3:16" ht="18.75" customHeight="1">
      <c r="C70" s="40" t="s">
        <v>877</v>
      </c>
      <c r="D70" s="40" t="s">
        <v>859</v>
      </c>
      <c r="E70" s="41"/>
      <c r="F70" s="42">
        <v>6</v>
      </c>
      <c r="G70" s="42" t="s">
        <v>878</v>
      </c>
      <c r="H70" s="44">
        <v>1250</v>
      </c>
      <c r="I70" s="42">
        <v>1</v>
      </c>
      <c r="J70" s="45">
        <f t="shared" si="4"/>
        <v>1.25</v>
      </c>
      <c r="K70" s="45" t="s">
        <v>39</v>
      </c>
      <c r="L70" s="49">
        <f>VLOOKUP(F70,BM!$B$3:$Y$58,18,FALSE)</f>
        <v>1</v>
      </c>
      <c r="M70" s="49"/>
      <c r="N70" s="46">
        <f>J70*L70</f>
        <v>1.25</v>
      </c>
      <c r="O70" s="46">
        <v>1</v>
      </c>
      <c r="P70" s="46">
        <f>N70+O70</f>
        <v>2.25</v>
      </c>
    </row>
    <row r="71" spans="3:16" ht="18.75" customHeight="1">
      <c r="J71" s="47"/>
      <c r="K71" s="47"/>
      <c r="L71" s="48"/>
      <c r="M71" s="48"/>
      <c r="N71" s="48"/>
      <c r="O71" s="48"/>
      <c r="P71" s="48"/>
    </row>
    <row r="72" spans="3:16" ht="18.75" customHeight="1">
      <c r="C72" s="40" t="s">
        <v>879</v>
      </c>
      <c r="D72" s="40" t="s">
        <v>859</v>
      </c>
      <c r="E72" s="41"/>
      <c r="F72" s="42">
        <v>12</v>
      </c>
      <c r="G72" s="44">
        <v>2500</v>
      </c>
      <c r="H72" s="42" t="s">
        <v>878</v>
      </c>
      <c r="I72" s="42">
        <v>1</v>
      </c>
      <c r="J72" s="45">
        <f>G72*I72*0.001</f>
        <v>2.5</v>
      </c>
      <c r="K72" s="45" t="s">
        <v>249</v>
      </c>
      <c r="L72" s="49">
        <f>VLOOKUP(F72,BM!$B$3:$Y$58,12,FALSE)</f>
        <v>2.5</v>
      </c>
      <c r="M72" s="49"/>
      <c r="N72" s="46">
        <f>J72*L72</f>
        <v>6.25</v>
      </c>
      <c r="O72" s="46">
        <v>1</v>
      </c>
      <c r="P72" s="46">
        <f>N72+O72</f>
        <v>7.25</v>
      </c>
    </row>
    <row r="73" spans="3:16" ht="18.75" customHeight="1">
      <c r="C73" s="40" t="s">
        <v>879</v>
      </c>
      <c r="D73" s="40" t="s">
        <v>859</v>
      </c>
      <c r="E73" s="41"/>
      <c r="F73" s="42">
        <v>12</v>
      </c>
      <c r="G73" s="44">
        <v>2500</v>
      </c>
      <c r="H73" s="42" t="s">
        <v>878</v>
      </c>
      <c r="I73" s="42">
        <v>1</v>
      </c>
      <c r="J73" s="45">
        <f>G73*I73*0.001</f>
        <v>2.5</v>
      </c>
      <c r="K73" s="45" t="s">
        <v>249</v>
      </c>
      <c r="L73" s="49">
        <f>VLOOKUP(F73,BM!$B$3:$Y$58,12,FALSE)</f>
        <v>2.5</v>
      </c>
      <c r="M73" s="49"/>
      <c r="N73" s="46">
        <f>J73*L73</f>
        <v>6.25</v>
      </c>
      <c r="O73" s="46">
        <v>1</v>
      </c>
      <c r="P73" s="46">
        <f>N73+O73</f>
        <v>7.25</v>
      </c>
    </row>
    <row r="74" spans="3:16" ht="18.75" customHeight="1">
      <c r="C74" s="40" t="s">
        <v>879</v>
      </c>
      <c r="D74" s="40" t="s">
        <v>859</v>
      </c>
      <c r="E74" s="41"/>
      <c r="F74" s="42">
        <v>12</v>
      </c>
      <c r="G74" s="44">
        <v>2000</v>
      </c>
      <c r="H74" s="42" t="s">
        <v>878</v>
      </c>
      <c r="I74" s="42">
        <v>1</v>
      </c>
      <c r="J74" s="45">
        <f>G74*I74*0.001</f>
        <v>2</v>
      </c>
      <c r="K74" s="45" t="s">
        <v>249</v>
      </c>
      <c r="L74" s="49">
        <f>VLOOKUP(F74,BM!$B$3:$Y$58,12,FALSE)</f>
        <v>2.5</v>
      </c>
      <c r="M74" s="49"/>
      <c r="N74" s="46">
        <f>J74*L74</f>
        <v>5</v>
      </c>
      <c r="O74" s="46">
        <v>1</v>
      </c>
      <c r="P74" s="46">
        <f>N74+O74</f>
        <v>6</v>
      </c>
    </row>
    <row r="75" spans="3:16" ht="18.75" customHeight="1">
      <c r="C75" s="40" t="s">
        <v>879</v>
      </c>
      <c r="D75" s="40" t="s">
        <v>859</v>
      </c>
      <c r="E75" s="41"/>
      <c r="F75" s="42">
        <v>12</v>
      </c>
      <c r="G75" s="44">
        <v>1250</v>
      </c>
      <c r="H75" s="42" t="s">
        <v>878</v>
      </c>
      <c r="I75" s="42">
        <v>1</v>
      </c>
      <c r="J75" s="45">
        <f>G75*I75*0.001</f>
        <v>1.25</v>
      </c>
      <c r="K75" s="45" t="s">
        <v>249</v>
      </c>
      <c r="L75" s="49">
        <f>VLOOKUP(F75,BM!$B$3:$Y$58,12,FALSE)</f>
        <v>2.5</v>
      </c>
      <c r="M75" s="49"/>
      <c r="N75" s="46">
        <f>J75*L75</f>
        <v>3.125</v>
      </c>
      <c r="O75" s="46">
        <v>1</v>
      </c>
      <c r="P75" s="46">
        <f>N75+O75</f>
        <v>4.125</v>
      </c>
    </row>
    <row r="76" spans="3:16" ht="18.75" customHeight="1">
      <c r="J76" s="47"/>
      <c r="K76" s="47"/>
      <c r="L76" s="48"/>
      <c r="M76" s="48"/>
      <c r="N76" s="48"/>
      <c r="O76" s="48"/>
      <c r="P76" s="48"/>
    </row>
    <row r="77" spans="3:16" ht="18.75" customHeight="1">
      <c r="C77" s="40" t="s">
        <v>880</v>
      </c>
      <c r="D77" s="40" t="s">
        <v>859</v>
      </c>
      <c r="E77" s="41"/>
      <c r="F77" s="42">
        <v>12</v>
      </c>
      <c r="G77" s="44">
        <v>2500</v>
      </c>
      <c r="H77" s="42" t="s">
        <v>878</v>
      </c>
      <c r="I77" s="42">
        <v>1</v>
      </c>
      <c r="J77" s="45">
        <f>G77*I77*0.001</f>
        <v>2.5</v>
      </c>
      <c r="K77" s="45" t="s">
        <v>870</v>
      </c>
      <c r="L77" s="49">
        <f>VLOOKUP(F77,BM!$B$3:$Y$58,20,FALSE)</f>
        <v>0.5</v>
      </c>
      <c r="M77" s="49"/>
      <c r="N77" s="46">
        <f>J77*L77</f>
        <v>1.25</v>
      </c>
      <c r="O77" s="46">
        <v>1</v>
      </c>
      <c r="P77" s="46">
        <f>N77+O77</f>
        <v>2.25</v>
      </c>
    </row>
    <row r="78" spans="3:16" ht="18.75" customHeight="1">
      <c r="C78" s="40" t="s">
        <v>880</v>
      </c>
      <c r="D78" s="40" t="s">
        <v>859</v>
      </c>
      <c r="E78" s="41"/>
      <c r="F78" s="42">
        <v>12</v>
      </c>
      <c r="G78" s="44">
        <v>2500</v>
      </c>
      <c r="H78" s="42" t="s">
        <v>878</v>
      </c>
      <c r="I78" s="42">
        <v>1</v>
      </c>
      <c r="J78" s="45">
        <f>G78*I78*0.001</f>
        <v>2.5</v>
      </c>
      <c r="K78" s="45" t="s">
        <v>870</v>
      </c>
      <c r="L78" s="49">
        <f>VLOOKUP(F78,BM!$B$3:$Y$58,20,FALSE)</f>
        <v>0.5</v>
      </c>
      <c r="M78" s="49"/>
      <c r="N78" s="46">
        <f>J78*L78</f>
        <v>1.25</v>
      </c>
      <c r="O78" s="46">
        <v>1</v>
      </c>
      <c r="P78" s="46">
        <f>N78+O78</f>
        <v>2.25</v>
      </c>
    </row>
    <row r="79" spans="3:16" ht="18.75" customHeight="1">
      <c r="C79" s="40" t="s">
        <v>880</v>
      </c>
      <c r="D79" s="40" t="s">
        <v>859</v>
      </c>
      <c r="E79" s="41"/>
      <c r="F79" s="42">
        <v>12</v>
      </c>
      <c r="G79" s="44">
        <v>2000</v>
      </c>
      <c r="H79" s="42" t="s">
        <v>878</v>
      </c>
      <c r="I79" s="42">
        <v>1</v>
      </c>
      <c r="J79" s="45">
        <f>G79*I79*0.001</f>
        <v>2</v>
      </c>
      <c r="K79" s="45" t="s">
        <v>870</v>
      </c>
      <c r="L79" s="49">
        <f>VLOOKUP(F79,BM!$B$3:$Y$58,20,FALSE)</f>
        <v>0.5</v>
      </c>
      <c r="M79" s="49"/>
      <c r="N79" s="46">
        <f>J79*L79</f>
        <v>1</v>
      </c>
      <c r="O79" s="46">
        <v>1</v>
      </c>
      <c r="P79" s="46">
        <f>N79+O79</f>
        <v>2</v>
      </c>
    </row>
    <row r="80" spans="3:16" ht="18.75" customHeight="1">
      <c r="C80" s="40" t="s">
        <v>880</v>
      </c>
      <c r="D80" s="40" t="s">
        <v>859</v>
      </c>
      <c r="E80" s="41"/>
      <c r="F80" s="42">
        <v>12</v>
      </c>
      <c r="G80" s="44">
        <v>1250</v>
      </c>
      <c r="H80" s="42" t="s">
        <v>878</v>
      </c>
      <c r="I80" s="42">
        <v>1</v>
      </c>
      <c r="J80" s="45">
        <f>G80*I80*0.001</f>
        <v>1.25</v>
      </c>
      <c r="K80" s="45" t="s">
        <v>870</v>
      </c>
      <c r="L80" s="49">
        <f>VLOOKUP(F80,BM!$B$3:$Y$58,20,FALSE)</f>
        <v>0.5</v>
      </c>
      <c r="M80" s="49"/>
      <c r="N80" s="46">
        <f>J80*L80</f>
        <v>0.625</v>
      </c>
      <c r="O80" s="46">
        <v>1</v>
      </c>
      <c r="P80" s="46">
        <f>N80+O80</f>
        <v>1.625</v>
      </c>
    </row>
    <row r="81" spans="3:16" ht="18.75" customHeight="1">
      <c r="J81" s="47"/>
      <c r="K81" s="47"/>
      <c r="L81" s="48"/>
      <c r="M81" s="48"/>
      <c r="N81" s="48"/>
      <c r="O81" s="48"/>
      <c r="P81" s="48"/>
    </row>
    <row r="82" spans="3:16" ht="18.75" customHeight="1">
      <c r="C82" s="40" t="s">
        <v>881</v>
      </c>
      <c r="D82" s="40" t="s">
        <v>859</v>
      </c>
      <c r="E82" s="41" t="s">
        <v>581</v>
      </c>
      <c r="F82" s="42">
        <v>12</v>
      </c>
      <c r="G82" s="42" t="s">
        <v>882</v>
      </c>
      <c r="H82" s="42">
        <v>5000</v>
      </c>
      <c r="I82" s="42">
        <v>1</v>
      </c>
      <c r="J82" s="45">
        <v>1</v>
      </c>
      <c r="K82" s="45" t="s">
        <v>39</v>
      </c>
      <c r="L82" s="49">
        <f>VLOOKUP(F82,BM!$B$3:$Y$58,20,FALSE)</f>
        <v>0.5</v>
      </c>
      <c r="M82" s="49"/>
      <c r="N82" s="46">
        <f>J82*L82</f>
        <v>0.5</v>
      </c>
      <c r="O82" s="46">
        <v>1</v>
      </c>
      <c r="P82" s="46">
        <f>N82+O82</f>
        <v>1.5</v>
      </c>
    </row>
    <row r="83" spans="3:16" ht="18.75" customHeight="1">
      <c r="C83" s="40" t="s">
        <v>881</v>
      </c>
      <c r="D83" s="40" t="s">
        <v>859</v>
      </c>
      <c r="E83" s="41" t="s">
        <v>581</v>
      </c>
      <c r="F83" s="42">
        <v>12</v>
      </c>
      <c r="G83" s="42" t="s">
        <v>882</v>
      </c>
      <c r="H83" s="42">
        <v>5000</v>
      </c>
      <c r="I83" s="42">
        <v>1</v>
      </c>
      <c r="J83" s="45">
        <v>1</v>
      </c>
      <c r="K83" s="45" t="s">
        <v>39</v>
      </c>
      <c r="L83" s="49">
        <f>VLOOKUP(F83,BM!$B$3:$Y$58,20,FALSE)</f>
        <v>0.5</v>
      </c>
      <c r="M83" s="49"/>
      <c r="N83" s="46">
        <f>J83*L83</f>
        <v>0.5</v>
      </c>
      <c r="O83" s="46">
        <v>1</v>
      </c>
      <c r="P83" s="46">
        <f>N83+O83</f>
        <v>1.5</v>
      </c>
    </row>
    <row r="84" spans="3:16" ht="18.75" customHeight="1">
      <c r="C84" s="40" t="s">
        <v>881</v>
      </c>
      <c r="D84" s="40" t="s">
        <v>859</v>
      </c>
      <c r="E84" s="41" t="s">
        <v>581</v>
      </c>
      <c r="F84" s="42">
        <v>12</v>
      </c>
      <c r="G84" s="42" t="s">
        <v>882</v>
      </c>
      <c r="H84" s="42">
        <v>5000</v>
      </c>
      <c r="I84" s="42">
        <v>1</v>
      </c>
      <c r="J84" s="45">
        <v>1</v>
      </c>
      <c r="K84" s="45" t="s">
        <v>39</v>
      </c>
      <c r="L84" s="49">
        <f>VLOOKUP(F84,BM!$B$3:$Y$58,20,FALSE)</f>
        <v>0.5</v>
      </c>
      <c r="M84" s="49"/>
      <c r="N84" s="46">
        <f>J84*L84</f>
        <v>0.5</v>
      </c>
      <c r="O84" s="46">
        <v>1</v>
      </c>
      <c r="P84" s="46">
        <f>N84+O84</f>
        <v>1.5</v>
      </c>
    </row>
    <row r="85" spans="3:16" ht="18.75" customHeight="1">
      <c r="C85" s="40" t="s">
        <v>881</v>
      </c>
      <c r="D85" s="40" t="s">
        <v>859</v>
      </c>
      <c r="E85" s="41" t="s">
        <v>581</v>
      </c>
      <c r="F85" s="42">
        <v>12</v>
      </c>
      <c r="G85" s="42" t="s">
        <v>882</v>
      </c>
      <c r="H85" s="42">
        <v>5000</v>
      </c>
      <c r="I85" s="42">
        <v>1</v>
      </c>
      <c r="J85" s="45">
        <v>1</v>
      </c>
      <c r="K85" s="45" t="s">
        <v>39</v>
      </c>
      <c r="L85" s="49">
        <f>VLOOKUP(F85,BM!$B$3:$Y$58,20,FALSE)</f>
        <v>0.5</v>
      </c>
      <c r="M85" s="49"/>
      <c r="N85" s="46">
        <f>J85*L85</f>
        <v>0.5</v>
      </c>
      <c r="O85" s="46">
        <v>1</v>
      </c>
      <c r="P85" s="46">
        <f>N85+O85</f>
        <v>1.5</v>
      </c>
    </row>
    <row r="86" spans="3:16" ht="18.75" customHeight="1">
      <c r="J86" s="47"/>
      <c r="K86" s="47"/>
      <c r="L86" s="48"/>
      <c r="M86" s="48"/>
      <c r="N86" s="48"/>
      <c r="O86" s="48"/>
      <c r="P86" s="48"/>
    </row>
    <row r="87" spans="3:16" ht="18.75" customHeight="1">
      <c r="C87" s="40" t="s">
        <v>883</v>
      </c>
      <c r="D87" s="40" t="s">
        <v>859</v>
      </c>
      <c r="E87" s="41" t="s">
        <v>581</v>
      </c>
      <c r="F87" s="42">
        <v>12</v>
      </c>
      <c r="G87" s="42" t="s">
        <v>884</v>
      </c>
      <c r="H87" s="42" t="s">
        <v>885</v>
      </c>
      <c r="I87" s="42">
        <v>1</v>
      </c>
      <c r="J87" s="45">
        <v>1</v>
      </c>
      <c r="K87" s="45" t="s">
        <v>39</v>
      </c>
      <c r="L87" s="49" t="s">
        <v>886</v>
      </c>
      <c r="M87" s="49"/>
      <c r="N87" s="46"/>
      <c r="O87" s="46"/>
      <c r="P87" s="46" t="str">
        <f>L87</f>
        <v>1 DAY</v>
      </c>
    </row>
    <row r="88" spans="3:16" ht="18.75" customHeight="1">
      <c r="C88" s="40" t="s">
        <v>883</v>
      </c>
      <c r="D88" s="40" t="s">
        <v>859</v>
      </c>
      <c r="E88" s="41" t="s">
        <v>581</v>
      </c>
      <c r="F88" s="42">
        <v>12</v>
      </c>
      <c r="G88" s="42" t="s">
        <v>884</v>
      </c>
      <c r="H88" s="42" t="s">
        <v>885</v>
      </c>
      <c r="I88" s="42">
        <v>1</v>
      </c>
      <c r="J88" s="45">
        <v>1</v>
      </c>
      <c r="K88" s="45" t="s">
        <v>39</v>
      </c>
      <c r="L88" s="49" t="s">
        <v>886</v>
      </c>
      <c r="M88" s="49"/>
      <c r="N88" s="46"/>
      <c r="O88" s="46"/>
      <c r="P88" s="46" t="str">
        <f t="shared" ref="P88:P90" si="5">L88</f>
        <v>1 DAY</v>
      </c>
    </row>
    <row r="89" spans="3:16" ht="18.75" customHeight="1">
      <c r="C89" s="40" t="s">
        <v>883</v>
      </c>
      <c r="D89" s="40" t="s">
        <v>859</v>
      </c>
      <c r="E89" s="41" t="s">
        <v>581</v>
      </c>
      <c r="F89" s="42">
        <v>12</v>
      </c>
      <c r="G89" s="42" t="s">
        <v>884</v>
      </c>
      <c r="H89" s="42" t="s">
        <v>887</v>
      </c>
      <c r="I89" s="42">
        <v>1</v>
      </c>
      <c r="J89" s="45">
        <v>1</v>
      </c>
      <c r="K89" s="45" t="s">
        <v>39</v>
      </c>
      <c r="L89" s="49" t="s">
        <v>886</v>
      </c>
      <c r="M89" s="49"/>
      <c r="N89" s="46"/>
      <c r="O89" s="46"/>
      <c r="P89" s="46" t="str">
        <f t="shared" si="5"/>
        <v>1 DAY</v>
      </c>
    </row>
    <row r="90" spans="3:16" ht="18.75" customHeight="1">
      <c r="C90" s="40" t="s">
        <v>883</v>
      </c>
      <c r="D90" s="40" t="s">
        <v>859</v>
      </c>
      <c r="E90" s="41" t="s">
        <v>581</v>
      </c>
      <c r="F90" s="42">
        <v>12</v>
      </c>
      <c r="G90" s="42" t="s">
        <v>884</v>
      </c>
      <c r="H90" s="42" t="s">
        <v>888</v>
      </c>
      <c r="I90" s="42">
        <v>1</v>
      </c>
      <c r="J90" s="45">
        <v>1</v>
      </c>
      <c r="K90" s="45" t="s">
        <v>39</v>
      </c>
      <c r="L90" s="49" t="s">
        <v>886</v>
      </c>
      <c r="M90" s="49"/>
      <c r="N90" s="46"/>
      <c r="O90" s="46"/>
      <c r="P90" s="46" t="str">
        <f t="shared" si="5"/>
        <v>1 DAY</v>
      </c>
    </row>
    <row r="91" spans="3:16" ht="18.75" customHeight="1">
      <c r="J91" s="47"/>
      <c r="K91" s="47"/>
      <c r="L91" s="48"/>
      <c r="M91" s="48"/>
      <c r="N91" s="48"/>
      <c r="O91" s="48"/>
      <c r="P91" s="48"/>
    </row>
    <row r="92" spans="3:16" ht="18.75" customHeight="1">
      <c r="C92" s="40" t="s">
        <v>889</v>
      </c>
      <c r="D92" s="40" t="s">
        <v>859</v>
      </c>
      <c r="E92" s="41" t="s">
        <v>581</v>
      </c>
      <c r="F92" s="42">
        <v>24</v>
      </c>
      <c r="G92" s="42">
        <v>2500</v>
      </c>
      <c r="H92" s="44">
        <v>4945</v>
      </c>
      <c r="I92" s="42">
        <v>1</v>
      </c>
      <c r="J92" s="45">
        <f>H92*0.001*I92</f>
        <v>4.9450000000000003</v>
      </c>
      <c r="K92" s="45" t="s">
        <v>870</v>
      </c>
      <c r="L92" s="49">
        <v>1</v>
      </c>
      <c r="M92" s="49"/>
      <c r="N92" s="46">
        <f>J92*L92</f>
        <v>4.9450000000000003</v>
      </c>
      <c r="O92" s="46">
        <v>1</v>
      </c>
      <c r="P92" s="46">
        <f>N92+O92</f>
        <v>5.9450000000000003</v>
      </c>
    </row>
    <row r="93" spans="3:16" ht="18.75" customHeight="1">
      <c r="C93" s="40" t="s">
        <v>889</v>
      </c>
      <c r="D93" s="40" t="s">
        <v>859</v>
      </c>
      <c r="E93" s="41" t="s">
        <v>581</v>
      </c>
      <c r="F93" s="42">
        <v>24</v>
      </c>
      <c r="G93" s="42">
        <v>2500</v>
      </c>
      <c r="H93" s="44">
        <v>4945</v>
      </c>
      <c r="I93" s="42">
        <v>1</v>
      </c>
      <c r="J93" s="45">
        <f t="shared" ref="J93:J95" si="6">H93*0.001*I93</f>
        <v>4.9450000000000003</v>
      </c>
      <c r="K93" s="45" t="s">
        <v>870</v>
      </c>
      <c r="L93" s="49">
        <v>1</v>
      </c>
      <c r="M93" s="49"/>
      <c r="N93" s="46">
        <f>J93*L93</f>
        <v>4.9450000000000003</v>
      </c>
      <c r="O93" s="46">
        <v>1</v>
      </c>
      <c r="P93" s="46">
        <f>N93+O93</f>
        <v>5.9450000000000003</v>
      </c>
    </row>
    <row r="94" spans="3:16" ht="18.75" customHeight="1">
      <c r="C94" s="40" t="s">
        <v>889</v>
      </c>
      <c r="D94" s="40" t="s">
        <v>859</v>
      </c>
      <c r="E94" s="41" t="s">
        <v>581</v>
      </c>
      <c r="F94" s="42">
        <v>24</v>
      </c>
      <c r="G94" s="42">
        <v>2000</v>
      </c>
      <c r="H94" s="44">
        <v>4945</v>
      </c>
      <c r="I94" s="42">
        <v>1</v>
      </c>
      <c r="J94" s="45">
        <f t="shared" si="6"/>
        <v>4.9450000000000003</v>
      </c>
      <c r="K94" s="45" t="s">
        <v>870</v>
      </c>
      <c r="L94" s="49">
        <v>1</v>
      </c>
      <c r="M94" s="49"/>
      <c r="N94" s="46">
        <f>J94*L94</f>
        <v>4.9450000000000003</v>
      </c>
      <c r="O94" s="46">
        <v>1</v>
      </c>
      <c r="P94" s="46">
        <f>N94+O94</f>
        <v>5.9450000000000003</v>
      </c>
    </row>
    <row r="95" spans="3:16" ht="18.75" customHeight="1">
      <c r="C95" s="40" t="s">
        <v>889</v>
      </c>
      <c r="D95" s="40" t="s">
        <v>859</v>
      </c>
      <c r="E95" s="41" t="s">
        <v>581</v>
      </c>
      <c r="F95" s="42">
        <v>24</v>
      </c>
      <c r="G95" s="42">
        <v>1000</v>
      </c>
      <c r="H95" s="44">
        <v>4945</v>
      </c>
      <c r="I95" s="42">
        <v>1</v>
      </c>
      <c r="J95" s="45">
        <f t="shared" si="6"/>
        <v>4.9450000000000003</v>
      </c>
      <c r="K95" s="45" t="s">
        <v>870</v>
      </c>
      <c r="L95" s="49">
        <v>1</v>
      </c>
      <c r="M95" s="49"/>
      <c r="N95" s="46">
        <f>J95*L95</f>
        <v>4.9450000000000003</v>
      </c>
      <c r="O95" s="46">
        <v>1</v>
      </c>
      <c r="P95" s="46">
        <f>N95+O95</f>
        <v>5.9450000000000003</v>
      </c>
    </row>
    <row r="96" spans="3:16" ht="18.75" customHeight="1">
      <c r="J96" s="47"/>
      <c r="K96" s="47"/>
      <c r="L96" s="48"/>
      <c r="M96" s="48"/>
      <c r="N96" s="48"/>
      <c r="O96" s="48"/>
      <c r="P96" s="48"/>
    </row>
    <row r="97" spans="3:16" ht="18.75" customHeight="1">
      <c r="C97" s="40" t="s">
        <v>890</v>
      </c>
      <c r="D97" s="40" t="s">
        <v>859</v>
      </c>
      <c r="E97" s="41"/>
      <c r="F97" s="42">
        <v>18</v>
      </c>
      <c r="G97" s="42">
        <v>2500</v>
      </c>
      <c r="H97" s="44">
        <v>4945</v>
      </c>
      <c r="I97" s="42">
        <v>1</v>
      </c>
      <c r="J97" s="45">
        <f>H97/1000</f>
        <v>4.9450000000000003</v>
      </c>
      <c r="K97" s="45" t="s">
        <v>870</v>
      </c>
      <c r="L97" s="49">
        <f>VLOOKUP(F97,BM!$B$3:$Y$58,16,FALSE)</f>
        <v>1</v>
      </c>
      <c r="M97" s="49"/>
      <c r="N97" s="46">
        <f>J97*L97</f>
        <v>4.9450000000000003</v>
      </c>
      <c r="O97" s="46">
        <v>1</v>
      </c>
      <c r="P97" s="46">
        <f>N97+O97</f>
        <v>5.9450000000000003</v>
      </c>
    </row>
    <row r="98" spans="3:16" ht="18.75" customHeight="1">
      <c r="C98" s="40" t="s">
        <v>891</v>
      </c>
      <c r="D98" s="40" t="s">
        <v>859</v>
      </c>
      <c r="E98" s="41"/>
      <c r="F98" s="42">
        <v>18</v>
      </c>
      <c r="G98" s="42">
        <v>2500</v>
      </c>
      <c r="H98" s="44">
        <v>4945</v>
      </c>
      <c r="I98" s="42">
        <v>1</v>
      </c>
      <c r="J98" s="45">
        <f>H98/1000</f>
        <v>4.9450000000000003</v>
      </c>
      <c r="K98" s="45" t="s">
        <v>870</v>
      </c>
      <c r="L98" s="49">
        <f>VLOOKUP(F98,BM!$B$3:$Y$58,16,FALSE)</f>
        <v>1</v>
      </c>
      <c r="M98" s="49"/>
      <c r="N98" s="46">
        <f>J98*L98</f>
        <v>4.9450000000000003</v>
      </c>
      <c r="O98" s="46">
        <v>1</v>
      </c>
      <c r="P98" s="46">
        <f>N98+O98</f>
        <v>5.9450000000000003</v>
      </c>
    </row>
    <row r="99" spans="3:16" ht="18.75" customHeight="1">
      <c r="J99" s="47"/>
      <c r="K99" s="47"/>
      <c r="L99" s="48"/>
      <c r="M99" s="48"/>
      <c r="N99" s="48"/>
      <c r="O99" s="48"/>
      <c r="P99" s="48"/>
    </row>
    <row r="100" spans="3:16" ht="18.75" customHeight="1">
      <c r="C100" s="37" t="s">
        <v>850</v>
      </c>
      <c r="D100" s="38" t="s">
        <v>851</v>
      </c>
      <c r="E100" s="38"/>
      <c r="F100" s="39" t="s">
        <v>2</v>
      </c>
      <c r="G100" s="39" t="s">
        <v>892</v>
      </c>
      <c r="H100" s="39" t="s">
        <v>893</v>
      </c>
      <c r="I100" s="39" t="s">
        <v>4</v>
      </c>
      <c r="J100" s="39" t="s">
        <v>854</v>
      </c>
      <c r="K100" s="39" t="s">
        <v>5</v>
      </c>
      <c r="L100" s="39" t="s">
        <v>855</v>
      </c>
      <c r="M100" s="39" t="s">
        <v>5</v>
      </c>
      <c r="N100" s="39" t="s">
        <v>854</v>
      </c>
      <c r="O100" s="39" t="s">
        <v>856</v>
      </c>
      <c r="P100" s="39" t="s">
        <v>857</v>
      </c>
    </row>
    <row r="101" spans="3:16" ht="18.75" customHeight="1">
      <c r="C101" s="40" t="s">
        <v>894</v>
      </c>
      <c r="D101" s="40" t="s">
        <v>859</v>
      </c>
      <c r="E101" s="41"/>
      <c r="F101" s="42">
        <v>18</v>
      </c>
      <c r="G101" s="42">
        <v>1500</v>
      </c>
      <c r="H101" s="44">
        <v>2500</v>
      </c>
      <c r="I101" s="42">
        <v>1</v>
      </c>
      <c r="J101" s="45">
        <f>(G101+F101)*3.142/1000</f>
        <v>4.7695559999999997</v>
      </c>
      <c r="K101" s="45" t="s">
        <v>870</v>
      </c>
      <c r="L101" s="49">
        <f>VLOOKUP(F101,BM!$B$3:$Y$58,12,FALSE)</f>
        <v>4.9000000000000004</v>
      </c>
      <c r="M101" s="49" t="s">
        <v>895</v>
      </c>
      <c r="N101" s="46">
        <f>J101*L101</f>
        <v>23.3708244</v>
      </c>
      <c r="O101" s="46">
        <v>1</v>
      </c>
      <c r="P101" s="46">
        <f>N101+O101</f>
        <v>24.3708244</v>
      </c>
    </row>
    <row r="102" spans="3:16" ht="18.75" customHeight="1">
      <c r="C102" s="40" t="s">
        <v>896</v>
      </c>
      <c r="D102" s="40" t="s">
        <v>859</v>
      </c>
      <c r="E102" s="41"/>
      <c r="F102" s="42">
        <v>18</v>
      </c>
      <c r="G102" s="42">
        <v>1500</v>
      </c>
      <c r="H102" s="44">
        <v>2500</v>
      </c>
      <c r="I102" s="42">
        <v>1</v>
      </c>
      <c r="J102" s="45">
        <f>(G102+F102)*3.142/1000</f>
        <v>4.7695559999999997</v>
      </c>
      <c r="K102" s="45" t="s">
        <v>870</v>
      </c>
      <c r="L102" s="49">
        <f>VLOOKUP(F102,BM!$B$3:$Y$58,12,FALSE)</f>
        <v>4.9000000000000004</v>
      </c>
      <c r="M102" s="49" t="s">
        <v>895</v>
      </c>
      <c r="N102" s="46">
        <f>J102*L102</f>
        <v>23.3708244</v>
      </c>
      <c r="O102" s="46">
        <v>1</v>
      </c>
      <c r="P102" s="46">
        <f>N102+O102</f>
        <v>24.3708244</v>
      </c>
    </row>
    <row r="103" spans="3:16" ht="18.75" customHeight="1">
      <c r="J103" s="47"/>
      <c r="K103" s="47"/>
      <c r="L103" s="48"/>
      <c r="M103" s="48"/>
      <c r="N103" s="48"/>
      <c r="O103" s="48"/>
      <c r="P103" s="48"/>
    </row>
    <row r="104" spans="3:16" ht="18.75" customHeight="1">
      <c r="C104" s="37" t="s">
        <v>850</v>
      </c>
      <c r="D104" s="38" t="s">
        <v>851</v>
      </c>
      <c r="E104" s="38"/>
      <c r="F104" s="39" t="s">
        <v>2</v>
      </c>
      <c r="G104" s="39" t="s">
        <v>892</v>
      </c>
      <c r="H104" s="39" t="s">
        <v>893</v>
      </c>
      <c r="I104" s="39" t="s">
        <v>4</v>
      </c>
      <c r="J104" s="39" t="s">
        <v>854</v>
      </c>
      <c r="K104" s="39" t="s">
        <v>5</v>
      </c>
      <c r="L104" s="39" t="s">
        <v>855</v>
      </c>
      <c r="M104" s="39" t="s">
        <v>5</v>
      </c>
      <c r="N104" s="39" t="s">
        <v>854</v>
      </c>
      <c r="O104" s="39" t="s">
        <v>856</v>
      </c>
      <c r="P104" s="39" t="s">
        <v>857</v>
      </c>
    </row>
    <row r="105" spans="3:16" ht="18.75" customHeight="1">
      <c r="C105" s="40" t="s">
        <v>897</v>
      </c>
      <c r="D105" s="40" t="s">
        <v>859</v>
      </c>
      <c r="E105" s="41"/>
      <c r="F105" s="42">
        <v>16</v>
      </c>
      <c r="G105" s="42">
        <v>1500</v>
      </c>
      <c r="H105" s="42"/>
      <c r="I105" s="42">
        <v>1</v>
      </c>
      <c r="J105" s="45">
        <f>(G105+F105)*3.142/1000</f>
        <v>4.7632719999999997</v>
      </c>
      <c r="K105" s="45" t="s">
        <v>870</v>
      </c>
      <c r="L105" s="49">
        <f>VLOOKUP(F105,BM!$B$3:$Y$58,18,FALSE)</f>
        <v>1</v>
      </c>
      <c r="M105" s="49"/>
      <c r="N105" s="46">
        <f>J105*L105</f>
        <v>4.7632719999999997</v>
      </c>
      <c r="O105" s="46">
        <v>1</v>
      </c>
      <c r="P105" s="46">
        <f>N105+O105</f>
        <v>5.7632719999999997</v>
      </c>
    </row>
    <row r="106" spans="3:16" ht="18.75" customHeight="1">
      <c r="C106" s="40" t="s">
        <v>898</v>
      </c>
      <c r="D106" s="40" t="s">
        <v>859</v>
      </c>
      <c r="E106" s="41"/>
      <c r="F106" s="42">
        <v>16</v>
      </c>
      <c r="G106" s="42">
        <v>1500</v>
      </c>
      <c r="H106" s="42"/>
      <c r="I106" s="42">
        <v>1</v>
      </c>
      <c r="J106" s="45">
        <f>(G106+F106)*3.142/1000</f>
        <v>4.7632719999999997</v>
      </c>
      <c r="K106" s="45" t="s">
        <v>870</v>
      </c>
      <c r="L106" s="49">
        <f>VLOOKUP(F106,BM!$B$3:$Y$58,18,FALSE)</f>
        <v>1</v>
      </c>
      <c r="M106" s="49"/>
      <c r="N106" s="46">
        <f>J106*L106</f>
        <v>4.7632719999999997</v>
      </c>
      <c r="O106" s="46">
        <v>1</v>
      </c>
      <c r="P106" s="46">
        <f>N106+O106</f>
        <v>5.7632719999999997</v>
      </c>
    </row>
    <row r="107" spans="3:16" ht="18.75" customHeight="1">
      <c r="J107" s="47"/>
      <c r="K107" s="47"/>
      <c r="L107" s="48"/>
      <c r="M107" s="48"/>
      <c r="N107" s="48"/>
      <c r="O107" s="48"/>
      <c r="P107" s="48"/>
    </row>
    <row r="108" spans="3:16" ht="18.75" customHeight="1">
      <c r="C108" s="37" t="s">
        <v>850</v>
      </c>
      <c r="D108" s="38" t="s">
        <v>851</v>
      </c>
      <c r="E108" s="38"/>
      <c r="F108" s="39" t="s">
        <v>2</v>
      </c>
      <c r="G108" s="39" t="s">
        <v>892</v>
      </c>
      <c r="H108" s="39" t="s">
        <v>893</v>
      </c>
      <c r="I108" s="39" t="s">
        <v>4</v>
      </c>
      <c r="J108" s="39" t="s">
        <v>854</v>
      </c>
      <c r="K108" s="39" t="s">
        <v>5</v>
      </c>
      <c r="L108" s="39" t="s">
        <v>855</v>
      </c>
      <c r="M108" s="39" t="s">
        <v>5</v>
      </c>
      <c r="N108" s="39" t="s">
        <v>854</v>
      </c>
      <c r="O108" s="39" t="s">
        <v>856</v>
      </c>
      <c r="P108" s="39" t="s">
        <v>857</v>
      </c>
    </row>
    <row r="109" spans="3:16" ht="18.75" customHeight="1">
      <c r="C109" s="40" t="s">
        <v>899</v>
      </c>
      <c r="D109" s="40" t="s">
        <v>859</v>
      </c>
      <c r="E109" s="41"/>
      <c r="F109" s="42">
        <f>6</f>
        <v>6</v>
      </c>
      <c r="G109" s="42">
        <v>1500</v>
      </c>
      <c r="H109" s="42"/>
      <c r="I109" s="42">
        <v>1</v>
      </c>
      <c r="J109" s="45">
        <f>(G109+F109)*3.142/1000</f>
        <v>4.7318519999999999</v>
      </c>
      <c r="K109" s="45" t="s">
        <v>870</v>
      </c>
      <c r="L109" s="49">
        <f>VLOOKUP(F109,BM!$B$3:$Y$58,12,FALSE)</f>
        <v>0.9</v>
      </c>
      <c r="M109" s="49"/>
      <c r="N109" s="46">
        <f>J109*L109</f>
        <v>4.2586668000000003</v>
      </c>
      <c r="O109" s="46">
        <v>1</v>
      </c>
      <c r="P109" s="46">
        <f>N109+O109</f>
        <v>5.2586668000000003</v>
      </c>
    </row>
    <row r="110" spans="3:16" ht="18.75" customHeight="1">
      <c r="C110" s="40" t="s">
        <v>900</v>
      </c>
      <c r="D110" s="40" t="s">
        <v>859</v>
      </c>
      <c r="E110" s="41"/>
      <c r="F110" s="42">
        <v>6</v>
      </c>
      <c r="G110" s="42">
        <v>1500</v>
      </c>
      <c r="H110" s="42"/>
      <c r="I110" s="42">
        <v>1</v>
      </c>
      <c r="J110" s="45">
        <f>(G110+F110)*3.142/1000</f>
        <v>4.7318519999999999</v>
      </c>
      <c r="K110" s="45" t="s">
        <v>870</v>
      </c>
      <c r="L110" s="49">
        <f>VLOOKUP(F110,BM!$B$3:$Y$58,12,FALSE)</f>
        <v>0.9</v>
      </c>
      <c r="M110" s="49"/>
      <c r="N110" s="46">
        <f>J110*L110</f>
        <v>4.2586668000000003</v>
      </c>
      <c r="O110" s="46">
        <v>1</v>
      </c>
      <c r="P110" s="46">
        <f>N110+O110</f>
        <v>5.2586668000000003</v>
      </c>
    </row>
    <row r="111" spans="3:16" ht="18.75" customHeight="1">
      <c r="J111" s="47"/>
      <c r="K111" s="47"/>
      <c r="L111" s="48"/>
      <c r="M111" s="48"/>
      <c r="N111" s="48"/>
      <c r="O111" s="48"/>
      <c r="P111" s="48"/>
    </row>
    <row r="112" spans="3:16" ht="18.75" customHeight="1">
      <c r="C112" s="37" t="s">
        <v>850</v>
      </c>
      <c r="D112" s="38" t="s">
        <v>851</v>
      </c>
      <c r="E112" s="38"/>
      <c r="F112" s="39" t="s">
        <v>2</v>
      </c>
      <c r="G112" s="39" t="s">
        <v>892</v>
      </c>
      <c r="H112" s="39" t="s">
        <v>893</v>
      </c>
      <c r="I112" s="39" t="s">
        <v>4</v>
      </c>
      <c r="J112" s="39" t="s">
        <v>854</v>
      </c>
      <c r="K112" s="39" t="s">
        <v>5</v>
      </c>
      <c r="L112" s="39" t="s">
        <v>855</v>
      </c>
      <c r="M112" s="39" t="s">
        <v>5</v>
      </c>
      <c r="N112" s="39" t="s">
        <v>854</v>
      </c>
      <c r="O112" s="39" t="s">
        <v>856</v>
      </c>
      <c r="P112" s="39" t="s">
        <v>857</v>
      </c>
    </row>
    <row r="113" spans="3:16" ht="18.75" customHeight="1">
      <c r="C113" s="40" t="s">
        <v>901</v>
      </c>
      <c r="D113" s="40" t="s">
        <v>859</v>
      </c>
      <c r="E113" s="41"/>
      <c r="F113" s="42">
        <v>18</v>
      </c>
      <c r="G113" s="44">
        <v>1500</v>
      </c>
      <c r="H113" s="42"/>
      <c r="I113" s="42">
        <v>1</v>
      </c>
      <c r="J113" s="45">
        <f>G113*3.142/1000</f>
        <v>4.7130000000000001</v>
      </c>
      <c r="K113" s="45" t="s">
        <v>870</v>
      </c>
      <c r="L113" s="49">
        <f>VLOOKUP(F113,BM!$B$3:$Y$58,16,FALSE)</f>
        <v>1</v>
      </c>
      <c r="M113" s="49"/>
      <c r="N113" s="46">
        <f t="shared" ref="N113:N118" si="7">J113*L113</f>
        <v>4.7130000000000001</v>
      </c>
      <c r="O113" s="46">
        <v>1</v>
      </c>
      <c r="P113" s="46">
        <f t="shared" ref="P113:P118" si="8">N113+O113</f>
        <v>5.7130000000000001</v>
      </c>
    </row>
    <row r="114" spans="3:16" ht="18.75" customHeight="1">
      <c r="C114" s="40" t="s">
        <v>902</v>
      </c>
      <c r="D114" s="40" t="s">
        <v>859</v>
      </c>
      <c r="E114" s="41"/>
      <c r="F114" s="42">
        <v>12</v>
      </c>
      <c r="G114" s="44">
        <v>1500</v>
      </c>
      <c r="H114" s="42"/>
      <c r="I114" s="42">
        <v>1</v>
      </c>
      <c r="J114" s="45">
        <f t="shared" ref="J114:J118" si="9">G114*3.142/1000</f>
        <v>4.7130000000000001</v>
      </c>
      <c r="K114" s="45" t="s">
        <v>870</v>
      </c>
      <c r="L114" s="49">
        <f>VLOOKUP(F114,BM!$B$3:$Y$58,12,FALSE)</f>
        <v>2.5</v>
      </c>
      <c r="M114" s="49"/>
      <c r="N114" s="46">
        <f t="shared" si="7"/>
        <v>11.782500000000001</v>
      </c>
      <c r="O114" s="46">
        <v>1</v>
      </c>
      <c r="P114" s="46">
        <f t="shared" si="8"/>
        <v>12.782500000000001</v>
      </c>
    </row>
    <row r="115" spans="3:16" ht="18.75" customHeight="1">
      <c r="C115" s="40" t="s">
        <v>903</v>
      </c>
      <c r="D115" s="40" t="s">
        <v>859</v>
      </c>
      <c r="E115" s="41"/>
      <c r="F115" s="42">
        <v>18</v>
      </c>
      <c r="G115" s="44">
        <v>1500</v>
      </c>
      <c r="H115" s="42"/>
      <c r="I115" s="42">
        <v>1</v>
      </c>
      <c r="J115" s="45">
        <f t="shared" si="9"/>
        <v>4.7130000000000001</v>
      </c>
      <c r="K115" s="45" t="s">
        <v>870</v>
      </c>
      <c r="L115" s="49">
        <f>VLOOKUP(F115,BM!$B$3:$Y$58,18,FALSE)</f>
        <v>1</v>
      </c>
      <c r="M115" s="49"/>
      <c r="N115" s="46">
        <f t="shared" si="7"/>
        <v>4.7130000000000001</v>
      </c>
      <c r="O115" s="46">
        <v>1</v>
      </c>
      <c r="P115" s="46">
        <f t="shared" si="8"/>
        <v>5.7130000000000001</v>
      </c>
    </row>
    <row r="116" spans="3:16" ht="18.75" customHeight="1">
      <c r="C116" s="40" t="s">
        <v>904</v>
      </c>
      <c r="D116" s="40" t="s">
        <v>859</v>
      </c>
      <c r="E116" s="41"/>
      <c r="F116" s="42">
        <v>6</v>
      </c>
      <c r="G116" s="44">
        <v>1500</v>
      </c>
      <c r="H116" s="42"/>
      <c r="I116" s="42">
        <v>1</v>
      </c>
      <c r="J116" s="45">
        <f t="shared" si="9"/>
        <v>4.7130000000000001</v>
      </c>
      <c r="K116" s="45" t="s">
        <v>870</v>
      </c>
      <c r="L116" s="49">
        <f>VLOOKUP(F116,BM!$B$3:$Y$58,12,FALSE)</f>
        <v>0.9</v>
      </c>
      <c r="M116" s="49"/>
      <c r="N116" s="46">
        <f t="shared" si="7"/>
        <v>4.2416999999999998</v>
      </c>
      <c r="O116" s="46">
        <v>1</v>
      </c>
      <c r="P116" s="46">
        <f t="shared" si="8"/>
        <v>5.2416999999999998</v>
      </c>
    </row>
    <row r="117" spans="3:16" ht="18.75" customHeight="1">
      <c r="C117" s="40" t="s">
        <v>905</v>
      </c>
      <c r="D117" s="40" t="s">
        <v>859</v>
      </c>
      <c r="E117" s="41"/>
      <c r="F117" s="42">
        <v>18</v>
      </c>
      <c r="G117" s="44">
        <v>1500</v>
      </c>
      <c r="H117" s="42"/>
      <c r="I117" s="42">
        <v>1</v>
      </c>
      <c r="J117" s="45">
        <f t="shared" si="9"/>
        <v>4.7130000000000001</v>
      </c>
      <c r="K117" s="45" t="s">
        <v>870</v>
      </c>
      <c r="L117" s="49">
        <f>VLOOKUP(F117,BM!$B$3:$Y$58,20,FALSE)</f>
        <v>0.5</v>
      </c>
      <c r="M117" s="49"/>
      <c r="N117" s="46">
        <f t="shared" si="7"/>
        <v>2.3565</v>
      </c>
      <c r="O117" s="46">
        <v>1</v>
      </c>
      <c r="P117" s="46">
        <f t="shared" si="8"/>
        <v>3.3565</v>
      </c>
    </row>
    <row r="118" spans="3:16" ht="18.75" customHeight="1">
      <c r="C118" s="40" t="s">
        <v>906</v>
      </c>
      <c r="D118" s="40" t="s">
        <v>859</v>
      </c>
      <c r="E118" s="41" t="s">
        <v>581</v>
      </c>
      <c r="F118" s="42">
        <v>18</v>
      </c>
      <c r="G118" s="44">
        <v>1500</v>
      </c>
      <c r="H118" s="42"/>
      <c r="I118" s="42">
        <v>1</v>
      </c>
      <c r="J118" s="45">
        <f t="shared" si="9"/>
        <v>4.7130000000000001</v>
      </c>
      <c r="K118" s="45" t="s">
        <v>564</v>
      </c>
      <c r="L118" s="49">
        <v>1</v>
      </c>
      <c r="M118" s="49"/>
      <c r="N118" s="46">
        <f t="shared" si="7"/>
        <v>4.7130000000000001</v>
      </c>
      <c r="O118" s="46"/>
      <c r="P118" s="46">
        <f t="shared" si="8"/>
        <v>4.7130000000000001</v>
      </c>
    </row>
    <row r="119" spans="3:16" ht="18.75" customHeight="1">
      <c r="J119" s="47"/>
      <c r="K119" s="47"/>
      <c r="L119" s="48"/>
      <c r="M119" s="48"/>
      <c r="N119" s="48"/>
      <c r="O119" s="48"/>
      <c r="P119" s="48"/>
    </row>
    <row r="120" spans="3:16" ht="18.75" customHeight="1">
      <c r="C120" s="37" t="s">
        <v>850</v>
      </c>
      <c r="D120" s="38" t="s">
        <v>851</v>
      </c>
      <c r="E120" s="38"/>
      <c r="F120" s="39" t="s">
        <v>2</v>
      </c>
      <c r="G120" s="39" t="s">
        <v>892</v>
      </c>
      <c r="H120" s="39" t="s">
        <v>893</v>
      </c>
      <c r="I120" s="39" t="s">
        <v>4</v>
      </c>
      <c r="J120" s="39" t="s">
        <v>854</v>
      </c>
      <c r="K120" s="39" t="s">
        <v>5</v>
      </c>
      <c r="L120" s="39" t="s">
        <v>855</v>
      </c>
      <c r="M120" s="39" t="s">
        <v>5</v>
      </c>
      <c r="N120" s="39" t="s">
        <v>854</v>
      </c>
      <c r="O120" s="39" t="s">
        <v>856</v>
      </c>
      <c r="P120" s="39" t="s">
        <v>857</v>
      </c>
    </row>
    <row r="121" spans="3:16" ht="18.75" customHeight="1">
      <c r="C121" s="40" t="s">
        <v>907</v>
      </c>
      <c r="D121" s="40" t="s">
        <v>859</v>
      </c>
      <c r="E121" s="41"/>
      <c r="F121" s="42">
        <v>24</v>
      </c>
      <c r="G121" s="50">
        <v>1500</v>
      </c>
      <c r="H121" s="42"/>
      <c r="I121" s="42">
        <v>1</v>
      </c>
      <c r="J121" s="45">
        <f t="shared" ref="J121:J128" si="10">G121*3.142/1000</f>
        <v>4.7130000000000001</v>
      </c>
      <c r="K121" s="45" t="s">
        <v>249</v>
      </c>
      <c r="L121" s="49">
        <f>VLOOKUP(F121,BM!$B$3:$Y$58,2,FALSE)</f>
        <v>0.1</v>
      </c>
      <c r="M121" s="49"/>
      <c r="N121" s="46">
        <f t="shared" ref="N121:N128" si="11">J121*L121</f>
        <v>0.47130000000000005</v>
      </c>
      <c r="O121" s="46">
        <v>0.5</v>
      </c>
      <c r="P121" s="46">
        <f t="shared" ref="P121:P128" si="12">N121+O121</f>
        <v>0.97130000000000005</v>
      </c>
    </row>
    <row r="122" spans="3:16" ht="18.75" customHeight="1">
      <c r="C122" s="40" t="s">
        <v>908</v>
      </c>
      <c r="D122" s="40" t="s">
        <v>859</v>
      </c>
      <c r="E122" s="41"/>
      <c r="F122" s="42">
        <v>24</v>
      </c>
      <c r="G122" s="44">
        <f t="shared" ref="G122:G129" si="13">G121</f>
        <v>1500</v>
      </c>
      <c r="H122" s="42"/>
      <c r="I122" s="42">
        <v>1</v>
      </c>
      <c r="J122" s="45">
        <f t="shared" si="10"/>
        <v>4.7130000000000001</v>
      </c>
      <c r="K122" s="45" t="s">
        <v>249</v>
      </c>
      <c r="L122" s="49">
        <f>VLOOKUP(F122,BM!$B$3:$Y$58,5,FALSE)</f>
        <v>0.5</v>
      </c>
      <c r="M122" s="49"/>
      <c r="N122" s="46">
        <f t="shared" ref="N122" si="14">J122*L122</f>
        <v>2.3565</v>
      </c>
      <c r="O122" s="46">
        <v>0.5</v>
      </c>
      <c r="P122" s="46">
        <f t="shared" ref="P122" si="15">N122+O122</f>
        <v>2.8565</v>
      </c>
    </row>
    <row r="123" spans="3:16" ht="18.75" customHeight="1">
      <c r="C123" s="40" t="s">
        <v>909</v>
      </c>
      <c r="D123" s="40" t="s">
        <v>859</v>
      </c>
      <c r="E123" s="41"/>
      <c r="F123" s="42">
        <v>24</v>
      </c>
      <c r="G123" s="44">
        <f t="shared" si="13"/>
        <v>1500</v>
      </c>
      <c r="H123" s="42"/>
      <c r="I123" s="42">
        <v>2</v>
      </c>
      <c r="J123" s="45">
        <f t="shared" si="10"/>
        <v>4.7130000000000001</v>
      </c>
      <c r="K123" s="45" t="s">
        <v>249</v>
      </c>
      <c r="L123" s="49">
        <f>VLOOKUP(F123,BM!$B$3:$Y$58,15,FALSE)</f>
        <v>1</v>
      </c>
      <c r="M123" s="49"/>
      <c r="N123" s="46">
        <f t="shared" si="11"/>
        <v>4.7130000000000001</v>
      </c>
      <c r="O123" s="46">
        <v>0.5</v>
      </c>
      <c r="P123" s="46">
        <f t="shared" si="12"/>
        <v>5.2130000000000001</v>
      </c>
    </row>
    <row r="124" spans="3:16" ht="18.75" customHeight="1">
      <c r="C124" s="40" t="s">
        <v>910</v>
      </c>
      <c r="D124" s="40" t="s">
        <v>859</v>
      </c>
      <c r="E124" s="41"/>
      <c r="F124" s="42">
        <v>24</v>
      </c>
      <c r="G124" s="44">
        <f t="shared" si="13"/>
        <v>1500</v>
      </c>
      <c r="H124" s="42"/>
      <c r="I124" s="42">
        <v>2</v>
      </c>
      <c r="J124" s="45">
        <f t="shared" si="10"/>
        <v>4.7130000000000001</v>
      </c>
      <c r="K124" s="45" t="s">
        <v>249</v>
      </c>
      <c r="L124" s="49">
        <f>VLOOKUP(F124,BM!$B$3:$Y$58,16,FALSE)</f>
        <v>1</v>
      </c>
      <c r="M124" s="49"/>
      <c r="N124" s="46">
        <f t="shared" si="11"/>
        <v>4.7130000000000001</v>
      </c>
      <c r="O124" s="46">
        <v>0.5</v>
      </c>
      <c r="P124" s="46">
        <f t="shared" si="12"/>
        <v>5.2130000000000001</v>
      </c>
    </row>
    <row r="125" spans="3:16" ht="18.75" customHeight="1">
      <c r="C125" s="40" t="s">
        <v>911</v>
      </c>
      <c r="D125" s="40" t="s">
        <v>859</v>
      </c>
      <c r="E125" s="41"/>
      <c r="F125" s="42">
        <v>16</v>
      </c>
      <c r="G125" s="44">
        <f t="shared" si="13"/>
        <v>1500</v>
      </c>
      <c r="H125" s="42"/>
      <c r="I125" s="42">
        <v>2</v>
      </c>
      <c r="J125" s="45">
        <f t="shared" si="10"/>
        <v>4.7130000000000001</v>
      </c>
      <c r="K125" s="45" t="s">
        <v>249</v>
      </c>
      <c r="L125" s="49">
        <f>VLOOKUP(F125,BM!$B$3:$Y$58,17,FALSE)</f>
        <v>4.0199999999999996</v>
      </c>
      <c r="M125" s="49"/>
      <c r="N125" s="46">
        <f t="shared" si="11"/>
        <v>18.946259999999999</v>
      </c>
      <c r="O125" s="46">
        <v>0.5</v>
      </c>
      <c r="P125" s="46">
        <f t="shared" si="12"/>
        <v>19.446259999999999</v>
      </c>
    </row>
    <row r="126" spans="3:16" ht="18.75" customHeight="1">
      <c r="C126" s="40" t="s">
        <v>912</v>
      </c>
      <c r="D126" s="40" t="s">
        <v>859</v>
      </c>
      <c r="E126" s="41"/>
      <c r="F126" s="42">
        <v>16</v>
      </c>
      <c r="G126" s="44">
        <f t="shared" si="13"/>
        <v>1500</v>
      </c>
      <c r="H126" s="42"/>
      <c r="I126" s="42">
        <v>2</v>
      </c>
      <c r="J126" s="45">
        <f t="shared" si="10"/>
        <v>4.7130000000000001</v>
      </c>
      <c r="K126" s="45" t="s">
        <v>249</v>
      </c>
      <c r="L126" s="49">
        <f>VLOOKUP(F126,BM!$B$3:$Y$58,18,FALSE)</f>
        <v>1</v>
      </c>
      <c r="M126" s="49"/>
      <c r="N126" s="46">
        <f t="shared" si="11"/>
        <v>4.7130000000000001</v>
      </c>
      <c r="O126" s="46">
        <v>0.5</v>
      </c>
      <c r="P126" s="46">
        <f t="shared" si="12"/>
        <v>5.2130000000000001</v>
      </c>
    </row>
    <row r="127" spans="3:16" ht="18.75" customHeight="1">
      <c r="C127" s="40" t="s">
        <v>913</v>
      </c>
      <c r="D127" s="40" t="s">
        <v>859</v>
      </c>
      <c r="E127" s="41"/>
      <c r="F127" s="42">
        <v>10</v>
      </c>
      <c r="G127" s="44">
        <f t="shared" si="13"/>
        <v>1500</v>
      </c>
      <c r="H127" s="42"/>
      <c r="I127" s="42">
        <v>2</v>
      </c>
      <c r="J127" s="45">
        <f t="shared" si="10"/>
        <v>4.7130000000000001</v>
      </c>
      <c r="K127" s="45" t="s">
        <v>249</v>
      </c>
      <c r="L127" s="49">
        <f>VLOOKUP(F127,BM!$B$3:$Y$58,17,FALSE)</f>
        <v>1.88</v>
      </c>
      <c r="M127" s="49"/>
      <c r="N127" s="46">
        <f t="shared" ref="N127" si="16">J127*L127</f>
        <v>8.8604399999999988</v>
      </c>
      <c r="O127" s="46">
        <v>0.5</v>
      </c>
      <c r="P127" s="46">
        <f t="shared" ref="P127" si="17">N127+O127</f>
        <v>9.3604399999999988</v>
      </c>
    </row>
    <row r="128" spans="3:16" ht="18.75" customHeight="1">
      <c r="C128" s="40" t="s">
        <v>905</v>
      </c>
      <c r="D128" s="40" t="s">
        <v>859</v>
      </c>
      <c r="E128" s="41"/>
      <c r="F128" s="42">
        <v>10</v>
      </c>
      <c r="G128" s="44">
        <f t="shared" si="13"/>
        <v>1500</v>
      </c>
      <c r="H128" s="42"/>
      <c r="I128" s="42">
        <v>2</v>
      </c>
      <c r="J128" s="45">
        <f t="shared" si="10"/>
        <v>4.7130000000000001</v>
      </c>
      <c r="K128" s="45" t="s">
        <v>249</v>
      </c>
      <c r="L128" s="49">
        <f>VLOOKUP(F128,BM!$B$3:$Y$58,20,FALSE)</f>
        <v>0.5</v>
      </c>
      <c r="M128" s="49"/>
      <c r="N128" s="46">
        <f t="shared" si="11"/>
        <v>2.3565</v>
      </c>
      <c r="O128" s="46">
        <v>0.5</v>
      </c>
      <c r="P128" s="46">
        <f t="shared" si="12"/>
        <v>2.8565</v>
      </c>
    </row>
    <row r="129" spans="3:16" ht="18.75" customHeight="1">
      <c r="C129" s="40" t="s">
        <v>906</v>
      </c>
      <c r="D129" s="40" t="s">
        <v>859</v>
      </c>
      <c r="E129" s="41" t="s">
        <v>581</v>
      </c>
      <c r="F129" s="42">
        <v>10</v>
      </c>
      <c r="G129" s="44">
        <f t="shared" si="13"/>
        <v>1500</v>
      </c>
      <c r="H129" s="42"/>
      <c r="I129" s="42">
        <v>2</v>
      </c>
      <c r="J129" s="45"/>
      <c r="K129" s="45"/>
      <c r="L129" s="49" t="s">
        <v>886</v>
      </c>
      <c r="M129" s="49"/>
      <c r="N129" s="46"/>
      <c r="O129" s="46"/>
      <c r="P129" s="46" t="str">
        <f>L129</f>
        <v>1 DAY</v>
      </c>
    </row>
    <row r="130" spans="3:16" ht="18.75" customHeight="1">
      <c r="J130" s="47"/>
      <c r="K130" s="47"/>
      <c r="L130" s="48"/>
      <c r="M130" s="48"/>
      <c r="N130" s="48"/>
      <c r="O130" s="48"/>
      <c r="P130" s="48"/>
    </row>
    <row r="131" spans="3:16" ht="18.75" customHeight="1">
      <c r="C131" s="37" t="s">
        <v>850</v>
      </c>
      <c r="D131" s="38" t="s">
        <v>851</v>
      </c>
      <c r="E131" s="38"/>
      <c r="F131" s="39" t="s">
        <v>2</v>
      </c>
      <c r="G131" s="39" t="s">
        <v>892</v>
      </c>
      <c r="H131" s="39" t="s">
        <v>893</v>
      </c>
      <c r="I131" s="39" t="s">
        <v>4</v>
      </c>
      <c r="J131" s="39" t="s">
        <v>854</v>
      </c>
      <c r="K131" s="39" t="s">
        <v>5</v>
      </c>
      <c r="L131" s="39" t="s">
        <v>855</v>
      </c>
      <c r="M131" s="39" t="s">
        <v>5</v>
      </c>
      <c r="N131" s="39" t="s">
        <v>854</v>
      </c>
      <c r="O131" s="39" t="s">
        <v>856</v>
      </c>
      <c r="P131" s="39" t="s">
        <v>857</v>
      </c>
    </row>
    <row r="132" spans="3:16" ht="18.75" customHeight="1">
      <c r="C132" s="40" t="s">
        <v>914</v>
      </c>
      <c r="D132" s="40"/>
      <c r="E132" s="41" t="s">
        <v>581</v>
      </c>
      <c r="F132" s="42">
        <v>18</v>
      </c>
      <c r="G132" s="42">
        <v>1500</v>
      </c>
      <c r="H132" s="42" t="s">
        <v>915</v>
      </c>
      <c r="I132" s="42">
        <v>1</v>
      </c>
      <c r="J132" s="45">
        <v>1</v>
      </c>
      <c r="K132" s="45" t="s">
        <v>39</v>
      </c>
      <c r="L132" s="49">
        <v>4</v>
      </c>
      <c r="M132" s="49"/>
      <c r="N132" s="46">
        <f t="shared" ref="N132" si="18">J132*L132</f>
        <v>4</v>
      </c>
      <c r="O132" s="46">
        <v>1</v>
      </c>
      <c r="P132" s="46">
        <f t="shared" ref="P132:P133" si="19">N132+O132</f>
        <v>5</v>
      </c>
    </row>
    <row r="133" spans="3:16" ht="18.75" customHeight="1">
      <c r="C133" s="40" t="s">
        <v>916</v>
      </c>
      <c r="D133" s="40" t="s">
        <v>917</v>
      </c>
      <c r="E133" s="41"/>
      <c r="F133" s="42" t="s">
        <v>918</v>
      </c>
      <c r="G133" s="42" t="s">
        <v>919</v>
      </c>
      <c r="H133" s="42"/>
      <c r="I133" s="42">
        <v>3</v>
      </c>
      <c r="J133" s="45">
        <v>3</v>
      </c>
      <c r="K133" s="45" t="s">
        <v>81</v>
      </c>
      <c r="L133" s="49">
        <v>4</v>
      </c>
      <c r="M133" s="49"/>
      <c r="N133" s="46">
        <f t="shared" ref="N133" si="20">J133*L133</f>
        <v>12</v>
      </c>
      <c r="O133" s="46">
        <v>1</v>
      </c>
      <c r="P133" s="46">
        <f t="shared" si="19"/>
        <v>13</v>
      </c>
    </row>
    <row r="134" spans="3:16" ht="18.75" customHeight="1">
      <c r="C134" s="40" t="s">
        <v>920</v>
      </c>
      <c r="D134" s="40" t="s">
        <v>581</v>
      </c>
      <c r="E134" s="41"/>
      <c r="F134" s="42" t="s">
        <v>918</v>
      </c>
      <c r="G134" s="42"/>
      <c r="H134" s="42" t="s">
        <v>921</v>
      </c>
      <c r="I134" s="42">
        <v>3</v>
      </c>
      <c r="J134" s="45">
        <v>3</v>
      </c>
      <c r="K134" s="45" t="s">
        <v>564</v>
      </c>
      <c r="L134" s="49">
        <v>4</v>
      </c>
      <c r="M134" s="49"/>
      <c r="N134" s="46">
        <f t="shared" ref="N134:N139" si="21">J134*L134</f>
        <v>12</v>
      </c>
      <c r="O134" s="46">
        <v>1</v>
      </c>
      <c r="P134" s="46">
        <f t="shared" ref="P134:P139" si="22">N134+O134</f>
        <v>13</v>
      </c>
    </row>
    <row r="135" spans="3:16" ht="18.75" customHeight="1">
      <c r="C135" s="40" t="s">
        <v>922</v>
      </c>
      <c r="D135" s="40" t="s">
        <v>581</v>
      </c>
      <c r="E135" s="41"/>
      <c r="F135" s="42" t="s">
        <v>918</v>
      </c>
      <c r="G135" s="42"/>
      <c r="H135" s="42" t="s">
        <v>921</v>
      </c>
      <c r="I135" s="42">
        <v>3</v>
      </c>
      <c r="J135" s="45">
        <v>3</v>
      </c>
      <c r="K135" s="45" t="s">
        <v>81</v>
      </c>
      <c r="L135" s="49">
        <v>8</v>
      </c>
      <c r="M135" s="49"/>
      <c r="N135" s="46">
        <f t="shared" si="21"/>
        <v>24</v>
      </c>
      <c r="O135" s="46">
        <v>1</v>
      </c>
      <c r="P135" s="46">
        <f t="shared" si="22"/>
        <v>25</v>
      </c>
    </row>
    <row r="136" spans="3:16" ht="18.75" customHeight="1">
      <c r="C136" s="40" t="s">
        <v>923</v>
      </c>
      <c r="D136" s="40" t="s">
        <v>581</v>
      </c>
      <c r="E136" s="41"/>
      <c r="F136" s="42" t="s">
        <v>918</v>
      </c>
      <c r="G136" s="42"/>
      <c r="H136" s="42"/>
      <c r="I136" s="42">
        <v>2</v>
      </c>
      <c r="J136" s="45">
        <v>2</v>
      </c>
      <c r="K136" s="45" t="s">
        <v>564</v>
      </c>
      <c r="L136" s="49">
        <v>4</v>
      </c>
      <c r="M136" s="49"/>
      <c r="N136" s="46">
        <f t="shared" si="21"/>
        <v>8</v>
      </c>
      <c r="O136" s="46">
        <v>1</v>
      </c>
      <c r="P136" s="46">
        <f t="shared" si="22"/>
        <v>9</v>
      </c>
    </row>
    <row r="137" spans="3:16" ht="18.75" customHeight="1">
      <c r="C137" s="40" t="s">
        <v>924</v>
      </c>
      <c r="D137" s="40"/>
      <c r="E137" s="41"/>
      <c r="F137" s="42">
        <v>12</v>
      </c>
      <c r="G137" s="50">
        <v>1197</v>
      </c>
      <c r="H137" s="51"/>
      <c r="I137" s="42">
        <v>1</v>
      </c>
      <c r="J137" s="46">
        <f>G137*3.142*0.001</f>
        <v>3.7609739999999996</v>
      </c>
      <c r="K137" s="45" t="s">
        <v>870</v>
      </c>
      <c r="L137" s="49">
        <f>VLOOKUP(F137,BM!$B$3:$Y$58,12,FALSE)</f>
        <v>2.5</v>
      </c>
      <c r="M137" s="49"/>
      <c r="N137" s="46">
        <f t="shared" si="21"/>
        <v>9.4024349999999988</v>
      </c>
      <c r="O137" s="46">
        <v>1</v>
      </c>
      <c r="P137" s="46">
        <f t="shared" si="22"/>
        <v>10.402434999999999</v>
      </c>
    </row>
    <row r="138" spans="3:16" ht="18.75" customHeight="1">
      <c r="C138" s="40" t="s">
        <v>925</v>
      </c>
      <c r="D138" s="40"/>
      <c r="E138" s="41"/>
      <c r="F138" s="42">
        <v>18</v>
      </c>
      <c r="G138" s="50">
        <v>1197</v>
      </c>
      <c r="H138" s="51"/>
      <c r="I138" s="42">
        <v>1</v>
      </c>
      <c r="J138" s="46">
        <f>G138*3.142*0.001</f>
        <v>3.7609739999999996</v>
      </c>
      <c r="K138" s="45" t="s">
        <v>870</v>
      </c>
      <c r="L138" s="49">
        <f>VLOOKUP(F138,BM!$B$3:$Y$58,18,FALSE)</f>
        <v>1</v>
      </c>
      <c r="M138" s="49"/>
      <c r="N138" s="46">
        <f t="shared" si="21"/>
        <v>3.7609739999999996</v>
      </c>
      <c r="O138" s="46">
        <v>1</v>
      </c>
      <c r="P138" s="46">
        <f t="shared" si="22"/>
        <v>4.7609739999999992</v>
      </c>
    </row>
    <row r="139" spans="3:16" ht="18.75" customHeight="1">
      <c r="C139" s="40" t="s">
        <v>926</v>
      </c>
      <c r="D139" s="40"/>
      <c r="E139" s="41"/>
      <c r="F139" s="42">
        <v>8</v>
      </c>
      <c r="G139" s="50">
        <v>1197</v>
      </c>
      <c r="H139" s="51"/>
      <c r="I139" s="42">
        <v>1</v>
      </c>
      <c r="J139" s="46">
        <f>G139*3.142*0.001</f>
        <v>3.7609739999999996</v>
      </c>
      <c r="K139" s="45" t="s">
        <v>870</v>
      </c>
      <c r="L139" s="49">
        <f>VLOOKUP(F139,BM!$B$3:$Y$58,12,FALSE)</f>
        <v>1.36</v>
      </c>
      <c r="M139" s="49"/>
      <c r="N139" s="46">
        <f t="shared" si="21"/>
        <v>5.1149246399999999</v>
      </c>
      <c r="O139" s="46">
        <v>1</v>
      </c>
      <c r="P139" s="46">
        <f t="shared" si="22"/>
        <v>6.1149246399999999</v>
      </c>
    </row>
    <row r="140" spans="3:16" ht="18.75" customHeight="1">
      <c r="J140" s="47"/>
      <c r="K140" s="47"/>
      <c r="L140" s="48"/>
      <c r="M140" s="48"/>
      <c r="N140" s="48"/>
      <c r="O140" s="48"/>
      <c r="P140" s="48"/>
    </row>
    <row r="141" spans="3:16" ht="18.75" customHeight="1">
      <c r="C141" s="37" t="s">
        <v>850</v>
      </c>
      <c r="D141" s="38" t="s">
        <v>851</v>
      </c>
      <c r="E141" s="38"/>
      <c r="F141" s="39" t="s">
        <v>2</v>
      </c>
      <c r="G141" s="39" t="s">
        <v>892</v>
      </c>
      <c r="H141" s="39" t="s">
        <v>893</v>
      </c>
      <c r="I141" s="39" t="s">
        <v>4</v>
      </c>
      <c r="J141" s="39" t="s">
        <v>854</v>
      </c>
      <c r="K141" s="39" t="s">
        <v>5</v>
      </c>
      <c r="L141" s="39" t="s">
        <v>855</v>
      </c>
      <c r="M141" s="39" t="s">
        <v>5</v>
      </c>
      <c r="N141" s="39" t="s">
        <v>854</v>
      </c>
      <c r="O141" s="39" t="s">
        <v>856</v>
      </c>
      <c r="P141" s="39" t="s">
        <v>857</v>
      </c>
    </row>
    <row r="142" spans="3:16" ht="18.75" customHeight="1">
      <c r="C142" s="40" t="s">
        <v>927</v>
      </c>
      <c r="D142" s="40"/>
      <c r="E142" s="41"/>
      <c r="F142" s="42">
        <v>30</v>
      </c>
      <c r="G142" s="50">
        <v>1500</v>
      </c>
      <c r="H142" s="42"/>
      <c r="I142" s="50">
        <v>2</v>
      </c>
      <c r="J142" s="45">
        <f>(G142+F142)*3.142*I142/1000</f>
        <v>9.6145200000000006</v>
      </c>
      <c r="K142" s="45" t="s">
        <v>870</v>
      </c>
      <c r="L142" s="49">
        <f>VLOOKUP(F142,BM!$B$3:$Y$58,16,FALSE)</f>
        <v>1</v>
      </c>
      <c r="M142" s="49"/>
      <c r="N142" s="46">
        <f>J142*L142</f>
        <v>9.6145200000000006</v>
      </c>
      <c r="O142" s="46">
        <v>1</v>
      </c>
      <c r="P142" s="46">
        <f>N142+O142</f>
        <v>10.614520000000001</v>
      </c>
    </row>
    <row r="143" spans="3:16" ht="18.75" customHeight="1">
      <c r="C143" s="40" t="s">
        <v>928</v>
      </c>
      <c r="D143" s="40"/>
      <c r="E143" s="41"/>
      <c r="F143" s="42">
        <v>20</v>
      </c>
      <c r="G143" s="50">
        <v>1500</v>
      </c>
      <c r="H143" s="42"/>
      <c r="I143" s="50">
        <v>2</v>
      </c>
      <c r="J143" s="45">
        <f>G143*3.142*2*I143/1000</f>
        <v>18.852</v>
      </c>
      <c r="K143" s="45" t="s">
        <v>870</v>
      </c>
      <c r="L143" s="49">
        <f>VLOOKUP(F143,BM!$B$3:$Y$58,22,FALSE)</f>
        <v>4</v>
      </c>
      <c r="M143" s="49"/>
      <c r="N143" s="46">
        <f>J143*L143</f>
        <v>75.408000000000001</v>
      </c>
      <c r="O143" s="46">
        <v>1</v>
      </c>
      <c r="P143" s="46">
        <f>N143+O143</f>
        <v>76.408000000000001</v>
      </c>
    </row>
    <row r="144" spans="3:16" ht="18.75" customHeight="1">
      <c r="C144" s="40" t="s">
        <v>929</v>
      </c>
      <c r="D144" s="40"/>
      <c r="E144" s="41" t="s">
        <v>917</v>
      </c>
      <c r="F144" s="42"/>
      <c r="G144" s="42"/>
      <c r="H144" s="42"/>
      <c r="I144" s="42">
        <v>2</v>
      </c>
      <c r="J144" s="45">
        <v>2</v>
      </c>
      <c r="K144" s="45" t="s">
        <v>81</v>
      </c>
      <c r="L144" s="49">
        <v>4</v>
      </c>
      <c r="M144" s="49"/>
      <c r="N144" s="46">
        <f>J144*L144</f>
        <v>8</v>
      </c>
      <c r="O144" s="46">
        <v>1</v>
      </c>
      <c r="P144" s="46">
        <f>N144+O144</f>
        <v>9</v>
      </c>
    </row>
    <row r="145" spans="2:16" ht="18.75" customHeight="1">
      <c r="C145" s="40" t="s">
        <v>930</v>
      </c>
      <c r="D145" s="40"/>
      <c r="E145" s="41"/>
      <c r="F145" s="50">
        <v>20</v>
      </c>
      <c r="G145" s="42"/>
      <c r="H145" s="42"/>
      <c r="I145" s="42"/>
      <c r="J145" s="45">
        <v>11.6</v>
      </c>
      <c r="K145" s="45" t="s">
        <v>870</v>
      </c>
      <c r="L145" s="49">
        <f>VLOOKUP(F145,BM!$B$3:$Y$58,22,FALSE)</f>
        <v>4</v>
      </c>
      <c r="M145" s="49"/>
      <c r="N145" s="46">
        <f>J145*L145</f>
        <v>46.4</v>
      </c>
      <c r="O145" s="46">
        <v>1</v>
      </c>
      <c r="P145" s="46">
        <f>N145+O145</f>
        <v>47.4</v>
      </c>
    </row>
    <row r="146" spans="2:16" ht="18.75" customHeight="1">
      <c r="J146" s="47"/>
      <c r="K146" s="47"/>
      <c r="L146" s="54"/>
      <c r="M146" s="54"/>
      <c r="N146" s="48"/>
      <c r="O146" s="48"/>
      <c r="P146" s="48"/>
    </row>
    <row r="147" spans="2:16" ht="18.75" customHeight="1">
      <c r="C147" s="40" t="s">
        <v>931</v>
      </c>
      <c r="D147" s="40"/>
      <c r="E147" s="41"/>
      <c r="F147" s="42"/>
      <c r="G147" s="42"/>
      <c r="H147" s="42"/>
      <c r="I147" s="42"/>
      <c r="J147" s="45">
        <v>2</v>
      </c>
      <c r="K147" s="45" t="s">
        <v>81</v>
      </c>
      <c r="L147" s="49">
        <v>2</v>
      </c>
      <c r="M147" s="49"/>
      <c r="N147" s="46">
        <f>J147*L147</f>
        <v>4</v>
      </c>
      <c r="O147" s="46">
        <v>1</v>
      </c>
      <c r="P147" s="46">
        <f>N147+O147</f>
        <v>5</v>
      </c>
    </row>
    <row r="148" spans="2:16" ht="18.75" customHeight="1">
      <c r="C148" s="40" t="s">
        <v>932</v>
      </c>
      <c r="D148" s="40"/>
      <c r="E148" s="41"/>
      <c r="F148" s="42">
        <v>12</v>
      </c>
      <c r="G148" s="42"/>
      <c r="H148" s="42"/>
      <c r="I148" s="42"/>
      <c r="J148" s="45">
        <v>3</v>
      </c>
      <c r="K148" s="45" t="s">
        <v>870</v>
      </c>
      <c r="L148" s="49">
        <f>VLOOKUP(F148,BM!$B$3:$Y$58,22,FALSE)</f>
        <v>1.6</v>
      </c>
      <c r="M148" s="49"/>
      <c r="N148" s="46">
        <f>J148*L148</f>
        <v>4.8000000000000007</v>
      </c>
      <c r="O148" s="46">
        <v>1</v>
      </c>
      <c r="P148" s="46">
        <f>N148+O148</f>
        <v>5.8000000000000007</v>
      </c>
    </row>
    <row r="149" spans="2:16" ht="18.75" customHeight="1">
      <c r="J149" s="47"/>
      <c r="K149" s="47"/>
      <c r="L149" s="54"/>
      <c r="M149" s="54"/>
      <c r="N149" s="48"/>
      <c r="O149" s="48"/>
      <c r="P149" s="48"/>
    </row>
    <row r="150" spans="2:16" ht="18.75" customHeight="1">
      <c r="J150" s="47"/>
      <c r="K150" s="47"/>
      <c r="L150" s="48"/>
      <c r="M150" s="48"/>
      <c r="N150" s="48"/>
      <c r="O150" s="48"/>
      <c r="P150" s="48"/>
    </row>
    <row r="151" spans="2:16" ht="18.75" customHeight="1">
      <c r="C151" s="37" t="s">
        <v>850</v>
      </c>
      <c r="D151" s="38" t="s">
        <v>851</v>
      </c>
      <c r="E151" s="38"/>
      <c r="F151" s="39" t="s">
        <v>2</v>
      </c>
      <c r="G151" s="39" t="s">
        <v>892</v>
      </c>
      <c r="H151" s="39" t="s">
        <v>893</v>
      </c>
      <c r="I151" s="39" t="s">
        <v>4</v>
      </c>
      <c r="J151" s="39" t="s">
        <v>854</v>
      </c>
      <c r="K151" s="39" t="s">
        <v>5</v>
      </c>
      <c r="L151" s="39" t="s">
        <v>855</v>
      </c>
      <c r="M151" s="39" t="s">
        <v>5</v>
      </c>
      <c r="N151" s="39" t="s">
        <v>854</v>
      </c>
      <c r="O151" s="39" t="s">
        <v>856</v>
      </c>
      <c r="P151" s="39" t="s">
        <v>857</v>
      </c>
    </row>
    <row r="152" spans="2:16" ht="18.75" customHeight="1">
      <c r="B152" s="334" t="s">
        <v>1130</v>
      </c>
      <c r="C152" s="40" t="s">
        <v>933</v>
      </c>
      <c r="D152" s="40" t="s">
        <v>859</v>
      </c>
      <c r="E152" s="41"/>
      <c r="F152" s="42">
        <v>24</v>
      </c>
      <c r="G152" s="50">
        <v>1700</v>
      </c>
      <c r="H152" s="42"/>
      <c r="I152" s="42">
        <v>1</v>
      </c>
      <c r="J152" s="45">
        <f>G152*1.25/1000</f>
        <v>2.125</v>
      </c>
      <c r="K152" s="45" t="s">
        <v>870</v>
      </c>
      <c r="L152" s="49">
        <f>VLOOKUP(F152,BM!$B$3:$Y$58,2,FALSE)</f>
        <v>0.1</v>
      </c>
      <c r="M152" s="49"/>
      <c r="N152" s="46">
        <f t="shared" ref="N152:N154" si="23">J152*L152</f>
        <v>0.21250000000000002</v>
      </c>
      <c r="O152" s="46">
        <v>1</v>
      </c>
      <c r="P152" s="46">
        <f t="shared" ref="P152:P154" si="24">N152+O152</f>
        <v>1.2124999999999999</v>
      </c>
    </row>
    <row r="153" spans="2:16" ht="18.75" customHeight="1">
      <c r="B153" s="334"/>
      <c r="C153" s="40" t="s">
        <v>934</v>
      </c>
      <c r="D153" s="40" t="s">
        <v>859</v>
      </c>
      <c r="E153" s="41"/>
      <c r="F153" s="42">
        <v>30</v>
      </c>
      <c r="G153" s="50">
        <v>1700</v>
      </c>
      <c r="H153" s="42"/>
      <c r="I153" s="42">
        <v>1</v>
      </c>
      <c r="J153" s="45">
        <f>G153*1.25/1000</f>
        <v>2.125</v>
      </c>
      <c r="K153" s="45" t="s">
        <v>870</v>
      </c>
      <c r="L153" s="49">
        <f>VLOOKUP(F153,BM!$B$3:$Y$58,3,FALSE)</f>
        <v>0.25</v>
      </c>
      <c r="M153" s="49"/>
      <c r="N153" s="46">
        <f t="shared" si="23"/>
        <v>0.53125</v>
      </c>
      <c r="O153" s="46">
        <v>1</v>
      </c>
      <c r="P153" s="46">
        <f t="shared" si="24"/>
        <v>1.53125</v>
      </c>
    </row>
    <row r="154" spans="2:16" ht="18.75" customHeight="1">
      <c r="B154" s="334"/>
      <c r="C154" s="40" t="s">
        <v>935</v>
      </c>
      <c r="D154" s="40" t="s">
        <v>859</v>
      </c>
      <c r="E154" s="41"/>
      <c r="F154" s="50">
        <v>20</v>
      </c>
      <c r="G154" s="50">
        <v>1700</v>
      </c>
      <c r="H154" s="42"/>
      <c r="I154" s="42">
        <v>1</v>
      </c>
      <c r="J154" s="45">
        <f>G154*1.25/1000</f>
        <v>2.125</v>
      </c>
      <c r="K154" s="45" t="s">
        <v>870</v>
      </c>
      <c r="L154" s="49">
        <f>VLOOKUP(F154,BM!$B$3:$Y$58,4,FALSE)</f>
        <v>0.15</v>
      </c>
      <c r="M154" s="49"/>
      <c r="N154" s="46">
        <f t="shared" si="23"/>
        <v>0.31874999999999998</v>
      </c>
      <c r="O154" s="46">
        <v>1</v>
      </c>
      <c r="P154" s="46">
        <f t="shared" si="24"/>
        <v>1.3187500000000001</v>
      </c>
    </row>
    <row r="155" spans="2:16" ht="18.75" customHeight="1">
      <c r="B155" s="334"/>
      <c r="C155" s="40" t="s">
        <v>936</v>
      </c>
      <c r="D155" s="40" t="s">
        <v>859</v>
      </c>
      <c r="E155" s="41"/>
      <c r="F155" s="42">
        <v>20</v>
      </c>
      <c r="G155" s="50">
        <v>1640</v>
      </c>
      <c r="H155" s="50">
        <v>425</v>
      </c>
      <c r="I155" s="42">
        <v>1</v>
      </c>
      <c r="J155" s="45">
        <f>(G155*2*0.001+H155*2*0.001)*I155</f>
        <v>4.13</v>
      </c>
      <c r="K155" s="45" t="s">
        <v>870</v>
      </c>
      <c r="L155" s="49">
        <f>VLOOKUP(F155,BM!$B$3:$Y$58,2,FALSE)</f>
        <v>0.1</v>
      </c>
      <c r="M155" s="49"/>
      <c r="N155" s="46">
        <f t="shared" ref="N155:N188" si="25">J155*L155</f>
        <v>0.41300000000000003</v>
      </c>
      <c r="O155" s="46">
        <v>1</v>
      </c>
      <c r="P155" s="46">
        <f t="shared" ref="P155:P188" si="26">N155+O155</f>
        <v>1.413</v>
      </c>
    </row>
    <row r="156" spans="2:16" ht="18.75" customHeight="1">
      <c r="B156" s="334"/>
      <c r="C156" s="40" t="s">
        <v>937</v>
      </c>
      <c r="D156" s="40" t="s">
        <v>859</v>
      </c>
      <c r="E156" s="41"/>
      <c r="F156" s="42">
        <v>24</v>
      </c>
      <c r="G156" s="50">
        <v>1640</v>
      </c>
      <c r="H156" s="50">
        <v>425</v>
      </c>
      <c r="I156" s="42">
        <v>1</v>
      </c>
      <c r="J156" s="45">
        <f>(G156+F156)*3.142*2*0.001+H156*2*0.001</f>
        <v>11.306576</v>
      </c>
      <c r="K156" s="45" t="s">
        <v>870</v>
      </c>
      <c r="L156" s="49">
        <f>VLOOKUP(F156,BM!$B$3:$Y$58,3,FALSE)</f>
        <v>0.25</v>
      </c>
      <c r="M156" s="49"/>
      <c r="N156" s="46">
        <f t="shared" si="25"/>
        <v>2.8266439999999999</v>
      </c>
      <c r="O156" s="46">
        <v>1</v>
      </c>
      <c r="P156" s="46">
        <f t="shared" si="26"/>
        <v>3.8266439999999999</v>
      </c>
    </row>
    <row r="157" spans="2:16" ht="18.75" customHeight="1">
      <c r="B157" s="334"/>
      <c r="C157" s="40" t="s">
        <v>938</v>
      </c>
      <c r="D157" s="40" t="s">
        <v>859</v>
      </c>
      <c r="E157" s="41"/>
      <c r="F157" s="50">
        <v>24</v>
      </c>
      <c r="G157" s="50">
        <v>1640</v>
      </c>
      <c r="H157" s="50">
        <v>425</v>
      </c>
      <c r="I157" s="42">
        <v>1</v>
      </c>
      <c r="J157" s="45">
        <f>(G157+F157)*3.142*2*0.001+H157*2*0.001</f>
        <v>11.306576</v>
      </c>
      <c r="K157" s="45" t="s">
        <v>870</v>
      </c>
      <c r="L157" s="49">
        <f>VLOOKUP(F157,BM!$B$3:$Y$58,4,FALSE)</f>
        <v>0.15</v>
      </c>
      <c r="M157" s="49"/>
      <c r="N157" s="46">
        <f t="shared" si="25"/>
        <v>1.6959864</v>
      </c>
      <c r="O157" s="46">
        <v>1</v>
      </c>
      <c r="P157" s="46">
        <f t="shared" si="26"/>
        <v>2.6959863999999998</v>
      </c>
    </row>
    <row r="158" spans="2:16" ht="18.75" customHeight="1">
      <c r="B158" s="334"/>
      <c r="C158" s="40" t="s">
        <v>939</v>
      </c>
      <c r="D158" s="40" t="s">
        <v>859</v>
      </c>
      <c r="E158" s="41"/>
      <c r="F158" s="50">
        <v>24</v>
      </c>
      <c r="G158" s="50">
        <v>1640</v>
      </c>
      <c r="H158" s="50">
        <v>425</v>
      </c>
      <c r="I158" s="42">
        <v>1</v>
      </c>
      <c r="J158" s="45">
        <f>(G158+F158)*3.142*2*0.001+H158*2*0.001</f>
        <v>11.306576</v>
      </c>
      <c r="K158" s="45" t="s">
        <v>860</v>
      </c>
      <c r="L158" s="49">
        <f>VLOOKUP(F158,BM!$B$3:$Y$58,5,FALSE)</f>
        <v>0.5</v>
      </c>
      <c r="M158" s="49"/>
      <c r="N158" s="46">
        <f t="shared" si="25"/>
        <v>5.6532879999999999</v>
      </c>
      <c r="O158" s="46">
        <v>1</v>
      </c>
      <c r="P158" s="46">
        <f t="shared" si="26"/>
        <v>6.6532879999999999</v>
      </c>
    </row>
    <row r="159" spans="2:16" ht="18.75" customHeight="1">
      <c r="B159" s="334"/>
      <c r="C159" s="40" t="s">
        <v>940</v>
      </c>
      <c r="D159" s="40" t="s">
        <v>859</v>
      </c>
      <c r="E159" s="41"/>
      <c r="F159" s="50">
        <v>20</v>
      </c>
      <c r="G159" s="50">
        <v>1700</v>
      </c>
      <c r="H159" s="42"/>
      <c r="I159" s="42">
        <v>1</v>
      </c>
      <c r="J159" s="45">
        <f>G159*1.25/1000</f>
        <v>2.125</v>
      </c>
      <c r="K159" s="45" t="s">
        <v>860</v>
      </c>
      <c r="L159" s="49">
        <f>VLOOKUP(F159,BM!$B$3:$Y$58,6,FALSE)</f>
        <v>1</v>
      </c>
      <c r="M159" s="49"/>
      <c r="N159" s="46">
        <f t="shared" si="25"/>
        <v>2.125</v>
      </c>
      <c r="O159" s="46">
        <v>1</v>
      </c>
      <c r="P159" s="46">
        <f t="shared" si="26"/>
        <v>3.125</v>
      </c>
    </row>
    <row r="160" spans="2:16" ht="18.75" customHeight="1">
      <c r="J160" s="47"/>
      <c r="K160" s="47"/>
      <c r="L160" s="48"/>
      <c r="M160" s="48"/>
      <c r="N160" s="48"/>
      <c r="O160" s="48"/>
      <c r="P160" s="48"/>
    </row>
    <row r="161" spans="2:16" ht="18.75" customHeight="1">
      <c r="C161" s="37" t="s">
        <v>850</v>
      </c>
      <c r="D161" s="38" t="s">
        <v>851</v>
      </c>
      <c r="E161" s="38"/>
      <c r="F161" s="39" t="s">
        <v>2</v>
      </c>
      <c r="G161" s="39" t="s">
        <v>892</v>
      </c>
      <c r="H161" s="39" t="s">
        <v>893</v>
      </c>
      <c r="I161" s="39" t="s">
        <v>4</v>
      </c>
      <c r="J161" s="39" t="s">
        <v>854</v>
      </c>
      <c r="K161" s="39" t="s">
        <v>5</v>
      </c>
      <c r="L161" s="39" t="s">
        <v>855</v>
      </c>
      <c r="M161" s="39" t="s">
        <v>5</v>
      </c>
      <c r="N161" s="39" t="s">
        <v>854</v>
      </c>
      <c r="O161" s="39" t="s">
        <v>856</v>
      </c>
      <c r="P161" s="39" t="s">
        <v>857</v>
      </c>
    </row>
    <row r="162" spans="2:16" ht="18.75" customHeight="1">
      <c r="B162" s="335" t="s">
        <v>1131</v>
      </c>
      <c r="C162" s="40" t="s">
        <v>941</v>
      </c>
      <c r="D162" s="40" t="s">
        <v>859</v>
      </c>
      <c r="E162" s="40" t="s">
        <v>581</v>
      </c>
      <c r="F162" s="41">
        <v>24</v>
      </c>
      <c r="G162" s="50" t="s">
        <v>942</v>
      </c>
      <c r="H162" s="50" t="s">
        <v>943</v>
      </c>
      <c r="I162" s="42">
        <v>1</v>
      </c>
      <c r="J162" s="42">
        <v>1</v>
      </c>
      <c r="K162" s="45"/>
      <c r="L162" s="45">
        <f>VLOOKUP(F162,BM!$B$3:$Y$58,7,FALSE)</f>
        <v>2</v>
      </c>
      <c r="M162" s="45"/>
      <c r="N162" s="49">
        <f t="shared" si="25"/>
        <v>2</v>
      </c>
      <c r="O162" s="46">
        <v>1</v>
      </c>
      <c r="P162" s="46">
        <f t="shared" si="26"/>
        <v>3</v>
      </c>
    </row>
    <row r="163" spans="2:16" ht="18.75" customHeight="1">
      <c r="B163" s="336"/>
      <c r="C163" s="40" t="s">
        <v>944</v>
      </c>
      <c r="D163" s="40" t="s">
        <v>859</v>
      </c>
      <c r="E163" s="40"/>
      <c r="F163" s="41">
        <v>24</v>
      </c>
      <c r="G163" s="50" t="str">
        <f>G162</f>
        <v>1640 ID</v>
      </c>
      <c r="H163" s="50">
        <v>425</v>
      </c>
      <c r="I163" s="42">
        <v>1</v>
      </c>
      <c r="J163" s="42">
        <f>H163*0.001*I163</f>
        <v>0.42499999999999999</v>
      </c>
      <c r="K163" s="45"/>
      <c r="L163" s="45">
        <f>VLOOKUP(F163,BM!$B$3:$Y$58,8,FALSE)</f>
        <v>0.5</v>
      </c>
      <c r="M163" s="45"/>
      <c r="N163" s="49">
        <f t="shared" si="25"/>
        <v>0.21249999999999999</v>
      </c>
      <c r="O163" s="46">
        <v>1</v>
      </c>
      <c r="P163" s="46">
        <f t="shared" si="26"/>
        <v>1.2124999999999999</v>
      </c>
    </row>
    <row r="164" spans="2:16" ht="18.75" customHeight="1">
      <c r="B164" s="336"/>
      <c r="C164" s="40" t="s">
        <v>945</v>
      </c>
      <c r="D164" s="40" t="s">
        <v>859</v>
      </c>
      <c r="E164" s="40"/>
      <c r="F164" s="41">
        <v>24</v>
      </c>
      <c r="G164" s="50" t="str">
        <f t="shared" ref="G164:G165" si="27">G163</f>
        <v>1640 ID</v>
      </c>
      <c r="H164" s="52">
        <v>425</v>
      </c>
      <c r="I164" s="42">
        <v>1</v>
      </c>
      <c r="J164" s="42">
        <f>H164*0.001*I164</f>
        <v>0.42499999999999999</v>
      </c>
      <c r="K164" s="45"/>
      <c r="L164" s="45">
        <f>VLOOKUP(F164,BM!$B$3:$Y$58,9,FALSE)</f>
        <v>1</v>
      </c>
      <c r="M164" s="45"/>
      <c r="N164" s="49">
        <f t="shared" si="25"/>
        <v>0.42499999999999999</v>
      </c>
      <c r="O164" s="46">
        <v>1</v>
      </c>
      <c r="P164" s="46">
        <f t="shared" si="26"/>
        <v>1.425</v>
      </c>
    </row>
    <row r="165" spans="2:16" ht="18.75" customHeight="1">
      <c r="B165" s="336"/>
      <c r="C165" s="40" t="s">
        <v>946</v>
      </c>
      <c r="D165" s="40" t="s">
        <v>859</v>
      </c>
      <c r="E165" s="40" t="s">
        <v>581</v>
      </c>
      <c r="F165" s="41">
        <v>24</v>
      </c>
      <c r="G165" s="50" t="str">
        <f t="shared" si="27"/>
        <v>1640 ID</v>
      </c>
      <c r="H165" s="52" t="s">
        <v>947</v>
      </c>
      <c r="I165" s="42">
        <v>1</v>
      </c>
      <c r="J165" s="42">
        <v>1</v>
      </c>
      <c r="K165" s="45"/>
      <c r="L165" s="45">
        <v>2</v>
      </c>
      <c r="M165" s="45"/>
      <c r="N165" s="49">
        <f t="shared" si="25"/>
        <v>2</v>
      </c>
      <c r="O165" s="46">
        <v>1</v>
      </c>
      <c r="P165" s="46">
        <f t="shared" si="26"/>
        <v>3</v>
      </c>
    </row>
    <row r="166" spans="2:16" ht="18.75" customHeight="1">
      <c r="J166" s="47"/>
      <c r="K166" s="47"/>
      <c r="L166" s="48"/>
      <c r="M166" s="48"/>
      <c r="N166" s="48"/>
      <c r="O166" s="48"/>
      <c r="P166" s="48"/>
    </row>
    <row r="167" spans="2:16" ht="18.75" customHeight="1">
      <c r="C167" s="37" t="s">
        <v>850</v>
      </c>
      <c r="D167" s="38" t="s">
        <v>851</v>
      </c>
      <c r="E167" s="38"/>
      <c r="F167" s="39" t="s">
        <v>2</v>
      </c>
      <c r="G167" s="39" t="s">
        <v>892</v>
      </c>
      <c r="H167" s="39" t="s">
        <v>893</v>
      </c>
      <c r="I167" s="39" t="s">
        <v>4</v>
      </c>
      <c r="J167" s="39" t="s">
        <v>854</v>
      </c>
      <c r="K167" s="39" t="s">
        <v>5</v>
      </c>
      <c r="L167" s="39" t="s">
        <v>855</v>
      </c>
      <c r="M167" s="39" t="s">
        <v>5</v>
      </c>
      <c r="N167" s="39" t="s">
        <v>854</v>
      </c>
      <c r="O167" s="39" t="s">
        <v>856</v>
      </c>
      <c r="P167" s="39" t="s">
        <v>857</v>
      </c>
    </row>
    <row r="168" spans="2:16" ht="18.75" customHeight="1">
      <c r="B168" s="335" t="s">
        <v>1132</v>
      </c>
      <c r="C168" s="40" t="s">
        <v>948</v>
      </c>
      <c r="D168" s="40" t="s">
        <v>859</v>
      </c>
      <c r="E168" s="40" t="s">
        <v>581</v>
      </c>
      <c r="F168" s="41">
        <v>24</v>
      </c>
      <c r="G168" s="42">
        <f t="shared" ref="G168:G176" si="28">1640</f>
        <v>1640</v>
      </c>
      <c r="H168" s="52">
        <v>512</v>
      </c>
      <c r="I168" s="42">
        <v>1</v>
      </c>
      <c r="J168" s="42">
        <f>H168/1000*I168</f>
        <v>0.51200000000000001</v>
      </c>
      <c r="K168" s="45" t="s">
        <v>870</v>
      </c>
      <c r="L168" s="45">
        <f>VLOOKUP(F168,BM!$B$3:$Y$58,6,FALSE)</f>
        <v>1</v>
      </c>
      <c r="M168" s="45"/>
      <c r="N168" s="49">
        <f t="shared" si="25"/>
        <v>0.51200000000000001</v>
      </c>
      <c r="O168" s="46">
        <v>1</v>
      </c>
      <c r="P168" s="46">
        <f t="shared" si="26"/>
        <v>1.512</v>
      </c>
    </row>
    <row r="169" spans="2:16" ht="18.75" customHeight="1">
      <c r="B169" s="336"/>
      <c r="C169" s="40" t="s">
        <v>949</v>
      </c>
      <c r="D169" s="40" t="s">
        <v>859</v>
      </c>
      <c r="E169" s="40"/>
      <c r="F169" s="41">
        <v>24</v>
      </c>
      <c r="G169" s="42">
        <f t="shared" si="28"/>
        <v>1640</v>
      </c>
      <c r="H169" s="52">
        <v>512</v>
      </c>
      <c r="I169" s="42">
        <v>1</v>
      </c>
      <c r="J169" s="42">
        <f>H169/1000*I169</f>
        <v>0.51200000000000001</v>
      </c>
      <c r="K169" s="45" t="s">
        <v>870</v>
      </c>
      <c r="L169" s="45">
        <f>VLOOKUP(F169,BM!$B$3:$Y$58,10,FALSE)</f>
        <v>1</v>
      </c>
      <c r="M169" s="45"/>
      <c r="N169" s="49">
        <f t="shared" si="25"/>
        <v>0.51200000000000001</v>
      </c>
      <c r="O169" s="46">
        <v>1</v>
      </c>
      <c r="P169" s="46">
        <f t="shared" si="26"/>
        <v>1.512</v>
      </c>
    </row>
    <row r="170" spans="2:16" ht="18.75" customHeight="1">
      <c r="B170" s="336"/>
      <c r="C170" s="40" t="s">
        <v>950</v>
      </c>
      <c r="D170" s="40" t="s">
        <v>859</v>
      </c>
      <c r="E170" s="40" t="s">
        <v>581</v>
      </c>
      <c r="F170" s="41">
        <v>24</v>
      </c>
      <c r="G170" s="42">
        <f t="shared" si="28"/>
        <v>1640</v>
      </c>
      <c r="H170" s="52">
        <v>512</v>
      </c>
      <c r="I170" s="42">
        <v>1</v>
      </c>
      <c r="J170" s="42">
        <f>H170/1000*I170</f>
        <v>0.51200000000000001</v>
      </c>
      <c r="K170" s="45" t="s">
        <v>870</v>
      </c>
      <c r="L170" s="45">
        <v>2</v>
      </c>
      <c r="M170" s="45"/>
      <c r="N170" s="49">
        <f t="shared" si="25"/>
        <v>1.024</v>
      </c>
      <c r="O170" s="46">
        <v>1</v>
      </c>
      <c r="P170" s="46">
        <f t="shared" si="26"/>
        <v>2.024</v>
      </c>
    </row>
    <row r="171" spans="2:16" ht="18.75" customHeight="1">
      <c r="B171" s="336"/>
      <c r="C171" s="40" t="s">
        <v>951</v>
      </c>
      <c r="D171" s="40" t="s">
        <v>859</v>
      </c>
      <c r="E171" s="40"/>
      <c r="F171" s="41">
        <v>16</v>
      </c>
      <c r="G171" s="42">
        <f t="shared" si="28"/>
        <v>1640</v>
      </c>
      <c r="H171" s="52">
        <v>512</v>
      </c>
      <c r="I171" s="42">
        <v>1</v>
      </c>
      <c r="J171" s="42">
        <f>H171/1000*I171</f>
        <v>0.51200000000000001</v>
      </c>
      <c r="K171" s="45" t="s">
        <v>870</v>
      </c>
      <c r="L171" s="45">
        <f>VLOOKUP(F171,BM!$B$3:$Y$58,12,FALSE)</f>
        <v>4.0199999999999996</v>
      </c>
      <c r="M171" s="45"/>
      <c r="N171" s="49">
        <f t="shared" si="25"/>
        <v>2.0582399999999996</v>
      </c>
      <c r="O171" s="46">
        <v>1</v>
      </c>
      <c r="P171" s="46">
        <f t="shared" si="26"/>
        <v>3.0582399999999996</v>
      </c>
    </row>
    <row r="172" spans="2:16" ht="18.75" customHeight="1">
      <c r="B172" s="336"/>
      <c r="C172" s="40" t="s">
        <v>952</v>
      </c>
      <c r="D172" s="40" t="s">
        <v>859</v>
      </c>
      <c r="E172" s="40"/>
      <c r="F172" s="41">
        <v>16</v>
      </c>
      <c r="G172" s="42">
        <f t="shared" si="28"/>
        <v>1640</v>
      </c>
      <c r="H172" s="52">
        <v>512</v>
      </c>
      <c r="I172" s="42">
        <v>1</v>
      </c>
      <c r="J172" s="42">
        <f>H172/1000*I172</f>
        <v>0.51200000000000001</v>
      </c>
      <c r="K172" s="45" t="s">
        <v>870</v>
      </c>
      <c r="L172" s="45">
        <f>VLOOKUP(F172,BM!$B$3:$Y$58,18,FALSE)</f>
        <v>1</v>
      </c>
      <c r="M172" s="45"/>
      <c r="N172" s="49">
        <f t="shared" si="25"/>
        <v>0.51200000000000001</v>
      </c>
      <c r="O172" s="46">
        <v>1</v>
      </c>
      <c r="P172" s="46">
        <f t="shared" si="26"/>
        <v>1.512</v>
      </c>
    </row>
    <row r="173" spans="2:16" ht="18.75" customHeight="1">
      <c r="B173" s="336"/>
      <c r="C173" s="40" t="s">
        <v>953</v>
      </c>
      <c r="D173" s="40" t="s">
        <v>859</v>
      </c>
      <c r="E173" s="40"/>
      <c r="F173" s="41">
        <v>12</v>
      </c>
      <c r="G173" s="42">
        <f t="shared" si="28"/>
        <v>1640</v>
      </c>
      <c r="H173" s="52">
        <v>512</v>
      </c>
      <c r="I173" s="42">
        <v>1</v>
      </c>
      <c r="J173" s="42">
        <f>H172/1000*I173</f>
        <v>0.51200000000000001</v>
      </c>
      <c r="K173" s="45" t="s">
        <v>870</v>
      </c>
      <c r="L173" s="45">
        <f>VLOOKUP(F173,BM!$B$3:$Y$58,12,FALSE)</f>
        <v>2.5</v>
      </c>
      <c r="M173" s="45"/>
      <c r="N173" s="49">
        <f t="shared" si="25"/>
        <v>1.28</v>
      </c>
      <c r="O173" s="46">
        <v>1</v>
      </c>
      <c r="P173" s="46">
        <f t="shared" si="26"/>
        <v>2.2800000000000002</v>
      </c>
    </row>
    <row r="174" spans="2:16" ht="18.75" customHeight="1">
      <c r="B174" s="336"/>
      <c r="C174" s="40" t="s">
        <v>954</v>
      </c>
      <c r="D174" s="40" t="s">
        <v>859</v>
      </c>
      <c r="E174" s="40"/>
      <c r="F174" s="41">
        <v>12</v>
      </c>
      <c r="G174" s="42">
        <f t="shared" si="28"/>
        <v>1640</v>
      </c>
      <c r="H174" s="52">
        <v>512</v>
      </c>
      <c r="I174" s="42">
        <v>1</v>
      </c>
      <c r="J174" s="42">
        <f>H173/1000*I174</f>
        <v>0.51200000000000001</v>
      </c>
      <c r="K174" s="45" t="s">
        <v>870</v>
      </c>
      <c r="L174" s="45">
        <f>VLOOKUP(F174,BM!$B$3:$Y$58,20,FALSE)</f>
        <v>0.5</v>
      </c>
      <c r="M174" s="45"/>
      <c r="N174" s="49">
        <f t="shared" si="25"/>
        <v>0.25600000000000001</v>
      </c>
      <c r="O174" s="46">
        <v>1</v>
      </c>
      <c r="P174" s="46">
        <f t="shared" si="26"/>
        <v>1.256</v>
      </c>
    </row>
    <row r="175" spans="2:16" ht="18.75" customHeight="1">
      <c r="B175" s="336"/>
      <c r="C175" s="40" t="s">
        <v>955</v>
      </c>
      <c r="D175" s="40" t="s">
        <v>859</v>
      </c>
      <c r="E175" s="40" t="s">
        <v>581</v>
      </c>
      <c r="F175" s="41">
        <v>12</v>
      </c>
      <c r="G175" s="42">
        <f t="shared" si="28"/>
        <v>1640</v>
      </c>
      <c r="H175" s="42">
        <v>512</v>
      </c>
      <c r="I175" s="42">
        <v>1</v>
      </c>
      <c r="J175" s="42">
        <v>1</v>
      </c>
      <c r="K175" s="45" t="s">
        <v>39</v>
      </c>
      <c r="L175" s="45"/>
      <c r="M175" s="45"/>
      <c r="N175" s="49"/>
      <c r="O175" s="46"/>
      <c r="P175" s="46" t="s">
        <v>886</v>
      </c>
    </row>
    <row r="176" spans="2:16" ht="18.75" customHeight="1">
      <c r="B176" s="336"/>
      <c r="C176" s="40" t="s">
        <v>956</v>
      </c>
      <c r="D176" s="40" t="s">
        <v>859</v>
      </c>
      <c r="E176" s="40" t="s">
        <v>581</v>
      </c>
      <c r="F176" s="41">
        <v>12</v>
      </c>
      <c r="G176" s="42">
        <f t="shared" si="28"/>
        <v>1640</v>
      </c>
      <c r="H176" s="42">
        <v>512</v>
      </c>
      <c r="I176" s="42">
        <v>1</v>
      </c>
      <c r="J176" s="42">
        <v>1</v>
      </c>
      <c r="K176" s="45" t="s">
        <v>39</v>
      </c>
      <c r="L176" s="45"/>
      <c r="M176" s="45"/>
      <c r="N176" s="49"/>
      <c r="O176" s="46"/>
      <c r="P176" s="46" t="s">
        <v>886</v>
      </c>
    </row>
    <row r="177" spans="2:16" ht="18.75" customHeight="1">
      <c r="E177" s="35"/>
      <c r="F177" s="36"/>
      <c r="K177" s="47"/>
      <c r="L177" s="47"/>
      <c r="M177" s="47"/>
      <c r="O177" s="48"/>
      <c r="P177" s="48"/>
    </row>
    <row r="178" spans="2:16" ht="18.75" customHeight="1">
      <c r="C178" s="37" t="s">
        <v>850</v>
      </c>
      <c r="D178" s="38" t="s">
        <v>851</v>
      </c>
      <c r="E178" s="38"/>
      <c r="F178" s="39" t="s">
        <v>2</v>
      </c>
      <c r="G178" s="39" t="s">
        <v>892</v>
      </c>
      <c r="H178" s="39" t="s">
        <v>893</v>
      </c>
      <c r="I178" s="39" t="s">
        <v>4</v>
      </c>
      <c r="J178" s="39" t="s">
        <v>854</v>
      </c>
      <c r="K178" s="39" t="s">
        <v>5</v>
      </c>
      <c r="L178" s="39" t="s">
        <v>855</v>
      </c>
      <c r="M178" s="39" t="s">
        <v>5</v>
      </c>
      <c r="N178" s="39" t="s">
        <v>854</v>
      </c>
      <c r="O178" s="39" t="s">
        <v>856</v>
      </c>
      <c r="P178" s="39" t="s">
        <v>857</v>
      </c>
    </row>
    <row r="179" spans="2:16" ht="18.75" customHeight="1">
      <c r="B179" s="335" t="s">
        <v>1133</v>
      </c>
      <c r="C179" s="40" t="s">
        <v>957</v>
      </c>
      <c r="D179" s="40" t="s">
        <v>859</v>
      </c>
      <c r="E179" s="40" t="s">
        <v>581</v>
      </c>
      <c r="F179" s="41">
        <v>20</v>
      </c>
      <c r="G179" s="50">
        <v>1640</v>
      </c>
      <c r="H179" s="53">
        <v>512</v>
      </c>
      <c r="I179" s="42">
        <v>1</v>
      </c>
      <c r="J179" s="42">
        <v>1</v>
      </c>
      <c r="K179" s="45" t="s">
        <v>39</v>
      </c>
      <c r="L179" s="45">
        <f>VLOOKUP(F179,BM!$B$3:$Y$58,13,FALSE)</f>
        <v>1</v>
      </c>
      <c r="M179" s="45"/>
      <c r="N179" s="49">
        <f t="shared" si="25"/>
        <v>1</v>
      </c>
      <c r="O179" s="46">
        <v>1</v>
      </c>
      <c r="P179" s="46">
        <f t="shared" si="26"/>
        <v>2</v>
      </c>
    </row>
    <row r="180" spans="2:16" ht="18.75" customHeight="1">
      <c r="B180" s="336"/>
      <c r="C180" s="40" t="s">
        <v>958</v>
      </c>
      <c r="D180" s="40" t="s">
        <v>859</v>
      </c>
      <c r="E180" s="40"/>
      <c r="F180" s="41">
        <v>20</v>
      </c>
      <c r="G180" s="50">
        <f t="shared" ref="G180:G189" si="29">G179</f>
        <v>1640</v>
      </c>
      <c r="H180" s="53">
        <v>512</v>
      </c>
      <c r="I180" s="42">
        <v>1</v>
      </c>
      <c r="J180" s="45">
        <f>(G180+F180)*3.142/1000*I180</f>
        <v>5.2157200000000001</v>
      </c>
      <c r="K180" s="45" t="s">
        <v>870</v>
      </c>
      <c r="L180" s="45">
        <f>VLOOKUP(F180,BM!$B$3:$Y$58,16,FALSE)</f>
        <v>1</v>
      </c>
      <c r="M180" s="45"/>
      <c r="N180" s="49">
        <f t="shared" si="25"/>
        <v>5.2157200000000001</v>
      </c>
      <c r="O180" s="46">
        <v>1</v>
      </c>
      <c r="P180" s="46">
        <f t="shared" si="26"/>
        <v>6.2157200000000001</v>
      </c>
    </row>
    <row r="181" spans="2:16" ht="18.75" customHeight="1">
      <c r="B181" s="336"/>
      <c r="C181" s="40" t="s">
        <v>959</v>
      </c>
      <c r="D181" s="40" t="s">
        <v>859</v>
      </c>
      <c r="E181" s="40"/>
      <c r="F181" s="41">
        <v>14</v>
      </c>
      <c r="G181" s="50">
        <f t="shared" si="29"/>
        <v>1640</v>
      </c>
      <c r="H181" s="53">
        <v>512</v>
      </c>
      <c r="I181" s="42">
        <v>1</v>
      </c>
      <c r="J181" s="45">
        <f t="shared" ref="J181:J188" si="30">(G181+F181)*3.142/1000*I181</f>
        <v>5.1968679999999994</v>
      </c>
      <c r="K181" s="45" t="s">
        <v>870</v>
      </c>
      <c r="L181" s="45">
        <f>VLOOKUP(F181,BM!$B$3:$Y$58,17,FALSE)</f>
        <v>3.22</v>
      </c>
      <c r="M181" s="45"/>
      <c r="N181" s="49">
        <f t="shared" si="25"/>
        <v>16.73391496</v>
      </c>
      <c r="O181" s="46">
        <v>1</v>
      </c>
      <c r="P181" s="46">
        <f t="shared" si="26"/>
        <v>17.73391496</v>
      </c>
    </row>
    <row r="182" spans="2:16" ht="18.75" customHeight="1">
      <c r="B182" s="336"/>
      <c r="C182" s="40" t="s">
        <v>960</v>
      </c>
      <c r="D182" s="40" t="s">
        <v>859</v>
      </c>
      <c r="E182" s="40"/>
      <c r="F182" s="41">
        <v>18</v>
      </c>
      <c r="G182" s="50">
        <f t="shared" si="29"/>
        <v>1640</v>
      </c>
      <c r="H182" s="53">
        <v>512</v>
      </c>
      <c r="I182" s="42">
        <v>1</v>
      </c>
      <c r="J182" s="45">
        <f t="shared" si="30"/>
        <v>5.2094359999999993</v>
      </c>
      <c r="K182" s="45" t="s">
        <v>870</v>
      </c>
      <c r="L182" s="45">
        <f>VLOOKUP(F182,BM!$B$3:$Y$58,18,FALSE)</f>
        <v>1</v>
      </c>
      <c r="M182" s="45"/>
      <c r="N182" s="49">
        <f t="shared" si="25"/>
        <v>5.2094359999999993</v>
      </c>
      <c r="O182" s="46">
        <v>1</v>
      </c>
      <c r="P182" s="46">
        <f t="shared" si="26"/>
        <v>6.2094359999999993</v>
      </c>
    </row>
    <row r="183" spans="2:16" ht="18.75" customHeight="1">
      <c r="B183" s="336"/>
      <c r="C183" s="40" t="s">
        <v>961</v>
      </c>
      <c r="D183" s="40" t="s">
        <v>859</v>
      </c>
      <c r="E183" s="40"/>
      <c r="F183" s="41">
        <v>6</v>
      </c>
      <c r="G183" s="50">
        <f t="shared" si="29"/>
        <v>1640</v>
      </c>
      <c r="H183" s="53">
        <v>512</v>
      </c>
      <c r="I183" s="42">
        <v>1</v>
      </c>
      <c r="J183" s="45">
        <f t="shared" si="30"/>
        <v>5.1717319999999996</v>
      </c>
      <c r="K183" s="45" t="s">
        <v>870</v>
      </c>
      <c r="L183" s="45">
        <f>VLOOKUP(F183,BM!$B$3:$Y$58,17,FALSE)</f>
        <v>0.9</v>
      </c>
      <c r="M183" s="45"/>
      <c r="N183" s="49">
        <f t="shared" si="25"/>
        <v>4.6545587999999993</v>
      </c>
      <c r="O183" s="46">
        <v>1</v>
      </c>
      <c r="P183" s="46">
        <f t="shared" si="26"/>
        <v>5.6545587999999993</v>
      </c>
    </row>
    <row r="184" spans="2:16" ht="18.75" customHeight="1">
      <c r="B184" s="336"/>
      <c r="C184" s="40" t="s">
        <v>962</v>
      </c>
      <c r="D184" s="40" t="s">
        <v>859</v>
      </c>
      <c r="E184" s="40"/>
      <c r="F184" s="41">
        <v>20</v>
      </c>
      <c r="G184" s="50">
        <f t="shared" si="29"/>
        <v>1640</v>
      </c>
      <c r="H184" s="53">
        <v>512</v>
      </c>
      <c r="I184" s="42">
        <v>1</v>
      </c>
      <c r="J184" s="45">
        <f t="shared" si="30"/>
        <v>5.2157200000000001</v>
      </c>
      <c r="K184" s="45" t="s">
        <v>870</v>
      </c>
      <c r="L184" s="45">
        <f>VLOOKUP(F184,BM!$B$3:$Y$58,16,FALSE)</f>
        <v>1</v>
      </c>
      <c r="M184" s="45"/>
      <c r="N184" s="49">
        <f t="shared" si="25"/>
        <v>5.2157200000000001</v>
      </c>
      <c r="O184" s="46">
        <v>1</v>
      </c>
      <c r="P184" s="46">
        <f t="shared" si="26"/>
        <v>6.2157200000000001</v>
      </c>
    </row>
    <row r="185" spans="2:16" ht="18.75" customHeight="1">
      <c r="B185" s="336"/>
      <c r="C185" s="40" t="s">
        <v>963</v>
      </c>
      <c r="D185" s="40" t="s">
        <v>859</v>
      </c>
      <c r="E185" s="40"/>
      <c r="F185" s="41">
        <v>14</v>
      </c>
      <c r="G185" s="50">
        <f t="shared" si="29"/>
        <v>1640</v>
      </c>
      <c r="H185" s="53">
        <v>512</v>
      </c>
      <c r="I185" s="42">
        <v>1</v>
      </c>
      <c r="J185" s="45">
        <f t="shared" si="30"/>
        <v>5.1968679999999994</v>
      </c>
      <c r="K185" s="45" t="s">
        <v>870</v>
      </c>
      <c r="L185" s="45">
        <f>VLOOKUP(F185,BM!$B$3:$Y$58,17,FALSE)</f>
        <v>3.22</v>
      </c>
      <c r="M185" s="45"/>
      <c r="N185" s="49">
        <f t="shared" si="25"/>
        <v>16.73391496</v>
      </c>
      <c r="O185" s="46">
        <v>1</v>
      </c>
      <c r="P185" s="46">
        <f t="shared" si="26"/>
        <v>17.73391496</v>
      </c>
    </row>
    <row r="186" spans="2:16" ht="18.75" customHeight="1">
      <c r="B186" s="336"/>
      <c r="C186" s="40" t="s">
        <v>960</v>
      </c>
      <c r="D186" s="40" t="s">
        <v>859</v>
      </c>
      <c r="E186" s="40"/>
      <c r="F186" s="41">
        <v>6</v>
      </c>
      <c r="G186" s="50">
        <f t="shared" si="29"/>
        <v>1640</v>
      </c>
      <c r="H186" s="53">
        <v>512</v>
      </c>
      <c r="I186" s="42">
        <v>1</v>
      </c>
      <c r="J186" s="45">
        <f t="shared" si="30"/>
        <v>5.1717319999999996</v>
      </c>
      <c r="K186" s="45" t="s">
        <v>870</v>
      </c>
      <c r="L186" s="45">
        <f>VLOOKUP(F186,BM!$B$3:$Y$58,18,FALSE)</f>
        <v>1</v>
      </c>
      <c r="M186" s="45"/>
      <c r="N186" s="49">
        <f t="shared" si="25"/>
        <v>5.1717319999999996</v>
      </c>
      <c r="O186" s="46">
        <v>1</v>
      </c>
      <c r="P186" s="46">
        <f t="shared" si="26"/>
        <v>6.1717319999999996</v>
      </c>
    </row>
    <row r="187" spans="2:16" ht="18.75" customHeight="1">
      <c r="B187" s="336"/>
      <c r="C187" s="40" t="s">
        <v>961</v>
      </c>
      <c r="D187" s="40" t="s">
        <v>859</v>
      </c>
      <c r="E187" s="40"/>
      <c r="F187" s="41">
        <v>6</v>
      </c>
      <c r="G187" s="50">
        <f t="shared" si="29"/>
        <v>1640</v>
      </c>
      <c r="H187" s="53">
        <v>512</v>
      </c>
      <c r="I187" s="42">
        <v>1</v>
      </c>
      <c r="J187" s="45">
        <f t="shared" si="30"/>
        <v>5.1717319999999996</v>
      </c>
      <c r="K187" s="45" t="s">
        <v>870</v>
      </c>
      <c r="L187" s="45">
        <f>VLOOKUP(F187,BM!$B$3:$Y$58,17,FALSE)</f>
        <v>0.9</v>
      </c>
      <c r="M187" s="45"/>
      <c r="N187" s="49">
        <f t="shared" si="25"/>
        <v>4.6545587999999993</v>
      </c>
      <c r="O187" s="46">
        <v>1</v>
      </c>
      <c r="P187" s="46">
        <f t="shared" si="26"/>
        <v>5.6545587999999993</v>
      </c>
    </row>
    <row r="188" spans="2:16" ht="18.75" customHeight="1">
      <c r="B188" s="336"/>
      <c r="C188" s="40" t="s">
        <v>964</v>
      </c>
      <c r="D188" s="40" t="s">
        <v>859</v>
      </c>
      <c r="E188" s="40"/>
      <c r="F188" s="41">
        <v>20</v>
      </c>
      <c r="G188" s="50">
        <f t="shared" si="29"/>
        <v>1640</v>
      </c>
      <c r="H188" s="53">
        <v>512</v>
      </c>
      <c r="I188" s="42">
        <v>1</v>
      </c>
      <c r="J188" s="45">
        <f t="shared" si="30"/>
        <v>5.2157200000000001</v>
      </c>
      <c r="K188" s="45" t="s">
        <v>870</v>
      </c>
      <c r="L188" s="45">
        <f>VLOOKUP(F188,BM!$B$3:$Y$58,20,FALSE)</f>
        <v>0.5</v>
      </c>
      <c r="M188" s="45"/>
      <c r="N188" s="49">
        <f t="shared" si="25"/>
        <v>2.6078600000000001</v>
      </c>
      <c r="O188" s="46">
        <v>1</v>
      </c>
      <c r="P188" s="46">
        <f t="shared" si="26"/>
        <v>3.6078600000000001</v>
      </c>
    </row>
    <row r="189" spans="2:16" ht="18.75" customHeight="1">
      <c r="B189" s="336"/>
      <c r="C189" s="40" t="s">
        <v>965</v>
      </c>
      <c r="D189" s="40" t="s">
        <v>859</v>
      </c>
      <c r="E189" s="40" t="s">
        <v>581</v>
      </c>
      <c r="F189" s="41"/>
      <c r="G189" s="50">
        <f t="shared" si="29"/>
        <v>1640</v>
      </c>
      <c r="H189" s="53">
        <v>512</v>
      </c>
      <c r="I189" s="42">
        <v>1</v>
      </c>
      <c r="J189" s="42">
        <v>1</v>
      </c>
      <c r="K189" s="45" t="s">
        <v>564</v>
      </c>
      <c r="L189" s="45"/>
      <c r="M189" s="45"/>
      <c r="N189" s="49"/>
      <c r="O189" s="46"/>
      <c r="P189" s="46" t="s">
        <v>886</v>
      </c>
    </row>
    <row r="190" spans="2:16" ht="18.75" customHeight="1">
      <c r="C190" s="34"/>
      <c r="D190" s="34"/>
      <c r="E190" s="34"/>
    </row>
    <row r="191" spans="2:16" ht="18.75" customHeight="1">
      <c r="B191" s="337" t="s">
        <v>1134</v>
      </c>
      <c r="C191" s="37" t="s">
        <v>850</v>
      </c>
      <c r="D191" s="38" t="s">
        <v>851</v>
      </c>
      <c r="E191" s="38"/>
      <c r="F191" s="39" t="s">
        <v>2</v>
      </c>
      <c r="G191" s="39" t="s">
        <v>892</v>
      </c>
      <c r="H191" s="39" t="s">
        <v>893</v>
      </c>
      <c r="I191" s="39" t="s">
        <v>4</v>
      </c>
      <c r="J191" s="39" t="s">
        <v>854</v>
      </c>
      <c r="K191" s="39" t="s">
        <v>5</v>
      </c>
      <c r="L191" s="39" t="s">
        <v>855</v>
      </c>
      <c r="M191" s="39" t="s">
        <v>5</v>
      </c>
      <c r="N191" s="39" t="s">
        <v>854</v>
      </c>
      <c r="O191" s="39" t="s">
        <v>856</v>
      </c>
      <c r="P191" s="39" t="s">
        <v>857</v>
      </c>
    </row>
    <row r="192" spans="2:16" ht="18.75" customHeight="1">
      <c r="B192" s="338"/>
      <c r="C192" s="40" t="s">
        <v>966</v>
      </c>
      <c r="D192" s="40"/>
      <c r="E192" s="40"/>
      <c r="F192" s="41">
        <v>20</v>
      </c>
      <c r="G192" s="42">
        <v>1640</v>
      </c>
      <c r="H192" s="52">
        <v>512</v>
      </c>
      <c r="I192" s="42">
        <v>1</v>
      </c>
      <c r="J192" s="42">
        <v>1</v>
      </c>
      <c r="K192" s="45" t="s">
        <v>564</v>
      </c>
      <c r="L192" s="45">
        <v>4</v>
      </c>
      <c r="M192" s="45"/>
      <c r="N192" s="49">
        <f t="shared" ref="N192:N197" si="31">J192*L192</f>
        <v>4</v>
      </c>
      <c r="O192" s="46">
        <v>0</v>
      </c>
      <c r="P192" s="46">
        <v>4</v>
      </c>
    </row>
    <row r="193" spans="2:16" ht="18.75" customHeight="1">
      <c r="B193" s="338"/>
      <c r="C193" s="40" t="s">
        <v>967</v>
      </c>
      <c r="D193" s="40" t="s">
        <v>581</v>
      </c>
      <c r="E193" s="40"/>
      <c r="F193" s="41" t="s">
        <v>968</v>
      </c>
      <c r="G193" s="42"/>
      <c r="H193" s="52"/>
      <c r="I193" s="42">
        <v>2</v>
      </c>
      <c r="J193" s="42">
        <v>2</v>
      </c>
      <c r="K193" s="45" t="s">
        <v>564</v>
      </c>
      <c r="L193" s="45">
        <v>2</v>
      </c>
      <c r="M193" s="45"/>
      <c r="N193" s="49">
        <f t="shared" si="31"/>
        <v>4</v>
      </c>
      <c r="O193" s="46">
        <v>0.5</v>
      </c>
      <c r="P193" s="46">
        <f>N193+O193</f>
        <v>4.5</v>
      </c>
    </row>
    <row r="194" spans="2:16" ht="18.75" customHeight="1">
      <c r="B194" s="338"/>
      <c r="C194" s="40" t="s">
        <v>969</v>
      </c>
      <c r="D194" s="40" t="s">
        <v>581</v>
      </c>
      <c r="E194" s="40"/>
      <c r="F194" s="41" t="s">
        <v>968</v>
      </c>
      <c r="G194" s="42"/>
      <c r="H194" s="52"/>
      <c r="I194" s="42">
        <v>2</v>
      </c>
      <c r="J194" s="42">
        <v>2</v>
      </c>
      <c r="K194" s="45" t="s">
        <v>564</v>
      </c>
      <c r="L194" s="45">
        <v>2</v>
      </c>
      <c r="M194" s="45"/>
      <c r="N194" s="49">
        <f t="shared" si="31"/>
        <v>4</v>
      </c>
      <c r="O194" s="46">
        <v>0.5</v>
      </c>
      <c r="P194" s="46">
        <f>N194+O194</f>
        <v>4.5</v>
      </c>
    </row>
    <row r="195" spans="2:16" ht="18.75" customHeight="1">
      <c r="B195" s="338"/>
      <c r="C195" s="40" t="s">
        <v>970</v>
      </c>
      <c r="D195" s="40" t="s">
        <v>581</v>
      </c>
      <c r="E195" s="40"/>
      <c r="F195" s="41" t="s">
        <v>968</v>
      </c>
      <c r="G195" s="42"/>
      <c r="H195" s="52"/>
      <c r="I195" s="42">
        <v>2</v>
      </c>
      <c r="J195" s="42">
        <v>2</v>
      </c>
      <c r="K195" s="45" t="s">
        <v>564</v>
      </c>
      <c r="L195" s="45">
        <v>2</v>
      </c>
      <c r="M195" s="45"/>
      <c r="N195" s="49">
        <f t="shared" si="31"/>
        <v>4</v>
      </c>
      <c r="O195" s="46">
        <v>0.5</v>
      </c>
      <c r="P195" s="46">
        <f>N195+O195</f>
        <v>4.5</v>
      </c>
    </row>
    <row r="196" spans="2:16" ht="18.75" customHeight="1">
      <c r="B196" s="338"/>
      <c r="C196" s="40" t="s">
        <v>971</v>
      </c>
      <c r="D196" s="40"/>
      <c r="E196" s="40"/>
      <c r="F196" s="41">
        <v>14</v>
      </c>
      <c r="G196" s="42"/>
      <c r="H196" s="52">
        <f>100*3.142*0.001</f>
        <v>0.31419999999999998</v>
      </c>
      <c r="I196" s="42">
        <v>2</v>
      </c>
      <c r="J196" s="42">
        <f>H196*I196</f>
        <v>0.62839999999999996</v>
      </c>
      <c r="K196" s="45" t="s">
        <v>870</v>
      </c>
      <c r="L196" s="45">
        <f>VLOOKUP(F196,BM!$B$3:$Y$58,23,FALSE)</f>
        <v>4.4000000000000004</v>
      </c>
      <c r="M196" s="45"/>
      <c r="N196" s="49">
        <f t="shared" si="31"/>
        <v>2.7649599999999999</v>
      </c>
      <c r="O196" s="46">
        <v>1</v>
      </c>
      <c r="P196" s="46">
        <f>N196+O196</f>
        <v>3.7649599999999999</v>
      </c>
    </row>
    <row r="197" spans="2:16" ht="18.75" customHeight="1">
      <c r="B197" s="338"/>
      <c r="C197" s="40" t="s">
        <v>971</v>
      </c>
      <c r="D197" s="40"/>
      <c r="E197" s="40"/>
      <c r="F197" s="41">
        <v>14</v>
      </c>
      <c r="G197" s="42"/>
      <c r="H197" s="52">
        <f>100*3.142*0.001</f>
        <v>0.31419999999999998</v>
      </c>
      <c r="I197" s="42">
        <v>2</v>
      </c>
      <c r="J197" s="42">
        <f>H197*I197</f>
        <v>0.62839999999999996</v>
      </c>
      <c r="K197" s="45" t="s">
        <v>870</v>
      </c>
      <c r="L197" s="45">
        <f>VLOOKUP(F197,BM!$B$3:$Y$58,23,FALSE)</f>
        <v>4.4000000000000004</v>
      </c>
      <c r="M197" s="45"/>
      <c r="N197" s="49">
        <f t="shared" si="31"/>
        <v>2.7649599999999999</v>
      </c>
      <c r="O197" s="46">
        <v>1</v>
      </c>
      <c r="P197" s="46">
        <f>N197+O197</f>
        <v>3.7649599999999999</v>
      </c>
    </row>
    <row r="198" spans="2:16" ht="18.75" customHeight="1">
      <c r="B198" s="338"/>
      <c r="C198" s="40" t="s">
        <v>972</v>
      </c>
      <c r="D198" s="40"/>
      <c r="E198" s="40"/>
      <c r="F198" s="41">
        <v>6</v>
      </c>
      <c r="G198" s="42"/>
      <c r="H198" s="52">
        <f t="shared" ref="H198:H199" si="32">100*3.142*0.001</f>
        <v>0.31419999999999998</v>
      </c>
      <c r="I198" s="42">
        <v>2</v>
      </c>
      <c r="J198" s="42">
        <f t="shared" ref="J198:J199" si="33">H198*I198</f>
        <v>0.62839999999999996</v>
      </c>
      <c r="K198" s="45" t="s">
        <v>870</v>
      </c>
      <c r="L198" s="45">
        <f>VLOOKUP(F198,BM!$B$3:$Y$58,22,FALSE)</f>
        <v>0.6</v>
      </c>
      <c r="M198" s="45"/>
      <c r="N198" s="49">
        <f t="shared" ref="N198:N199" si="34">J198*L198</f>
        <v>0.37703999999999999</v>
      </c>
      <c r="O198" s="46">
        <v>1</v>
      </c>
      <c r="P198" s="46">
        <f t="shared" ref="P198:P199" si="35">N198+O198</f>
        <v>1.37704</v>
      </c>
    </row>
    <row r="199" spans="2:16" ht="18.75" customHeight="1">
      <c r="B199" s="339"/>
      <c r="C199" s="40" t="s">
        <v>972</v>
      </c>
      <c r="D199" s="40"/>
      <c r="E199" s="40"/>
      <c r="F199" s="41">
        <v>6</v>
      </c>
      <c r="G199" s="42"/>
      <c r="H199" s="52">
        <f t="shared" si="32"/>
        <v>0.31419999999999998</v>
      </c>
      <c r="I199" s="42">
        <v>2</v>
      </c>
      <c r="J199" s="42">
        <f t="shared" si="33"/>
        <v>0.62839999999999996</v>
      </c>
      <c r="K199" s="45" t="s">
        <v>870</v>
      </c>
      <c r="L199" s="45">
        <f>VLOOKUP(F199,BM!$B$3:$Y$58,22,FALSE)</f>
        <v>0.6</v>
      </c>
      <c r="M199" s="45"/>
      <c r="N199" s="49">
        <f t="shared" si="34"/>
        <v>0.37703999999999999</v>
      </c>
      <c r="O199" s="46">
        <v>1</v>
      </c>
      <c r="P199" s="46">
        <f t="shared" si="35"/>
        <v>1.37704</v>
      </c>
    </row>
    <row r="200" spans="2:16" ht="18.75" customHeight="1">
      <c r="J200" s="47"/>
      <c r="K200" s="47"/>
      <c r="L200" s="48"/>
      <c r="M200" s="48"/>
      <c r="N200" s="48"/>
      <c r="O200" s="48"/>
      <c r="P200" s="48"/>
    </row>
    <row r="201" spans="2:16" ht="18.75" customHeight="1">
      <c r="C201" s="37" t="s">
        <v>850</v>
      </c>
      <c r="D201" s="38" t="s">
        <v>851</v>
      </c>
      <c r="E201" s="38"/>
      <c r="F201" s="39" t="s">
        <v>2</v>
      </c>
      <c r="G201" s="39" t="s">
        <v>892</v>
      </c>
      <c r="H201" s="39" t="s">
        <v>893</v>
      </c>
      <c r="I201" s="39" t="s">
        <v>4</v>
      </c>
      <c r="J201" s="39" t="s">
        <v>854</v>
      </c>
      <c r="K201" s="39" t="s">
        <v>5</v>
      </c>
      <c r="L201" s="39" t="s">
        <v>855</v>
      </c>
      <c r="M201" s="39" t="s">
        <v>5</v>
      </c>
      <c r="N201" s="39" t="s">
        <v>854</v>
      </c>
      <c r="O201" s="39" t="s">
        <v>856</v>
      </c>
      <c r="P201" s="39" t="s">
        <v>857</v>
      </c>
    </row>
    <row r="202" spans="2:16" ht="18.75" customHeight="1">
      <c r="B202" s="337" t="s">
        <v>1135</v>
      </c>
      <c r="C202" s="40" t="s">
        <v>973</v>
      </c>
      <c r="D202" s="40" t="s">
        <v>859</v>
      </c>
      <c r="E202" s="40"/>
      <c r="F202" s="55">
        <v>18</v>
      </c>
      <c r="G202" s="55">
        <v>1500</v>
      </c>
      <c r="H202" s="55">
        <v>921</v>
      </c>
      <c r="I202" s="40">
        <v>1</v>
      </c>
      <c r="J202" s="45">
        <f>(G202*2*0.001+H202*2*0.001)*I202</f>
        <v>4.8420000000000005</v>
      </c>
      <c r="K202" s="40" t="s">
        <v>870</v>
      </c>
      <c r="L202" s="40">
        <f>VLOOKUP(F202,BM!$B$3:$Y$58,2,FALSE)</f>
        <v>0.1</v>
      </c>
      <c r="M202" s="40"/>
      <c r="N202" s="49">
        <f>J202*L202</f>
        <v>0.48420000000000007</v>
      </c>
      <c r="O202" s="40">
        <v>1</v>
      </c>
      <c r="P202" s="57">
        <f t="shared" ref="P202:P229" si="36">N202+O202</f>
        <v>1.4842</v>
      </c>
    </row>
    <row r="203" spans="2:16" ht="18.75" customHeight="1">
      <c r="B203" s="338"/>
      <c r="C203" s="40" t="s">
        <v>974</v>
      </c>
      <c r="D203" s="40" t="s">
        <v>859</v>
      </c>
      <c r="E203" s="40"/>
      <c r="F203" s="55">
        <v>18</v>
      </c>
      <c r="G203" s="55">
        <v>1500</v>
      </c>
      <c r="H203" s="55">
        <v>921</v>
      </c>
      <c r="I203" s="40">
        <v>1</v>
      </c>
      <c r="J203" s="45">
        <f>((G203+F203)*3.142*2*0.001+H203*2*0.001)*I203</f>
        <v>11.381112</v>
      </c>
      <c r="K203" s="40" t="s">
        <v>870</v>
      </c>
      <c r="L203" s="40">
        <f>VLOOKUP(F203,BM!$B$3:$Y$58,3,FALSE)</f>
        <v>0.25</v>
      </c>
      <c r="M203" s="40"/>
      <c r="N203" s="49">
        <f t="shared" ref="N203:N229" si="37">J203*L203</f>
        <v>2.845278</v>
      </c>
      <c r="O203" s="40">
        <v>1</v>
      </c>
      <c r="P203" s="57">
        <f t="shared" si="36"/>
        <v>3.845278</v>
      </c>
    </row>
    <row r="204" spans="2:16" ht="18.75" customHeight="1">
      <c r="B204" s="338"/>
      <c r="C204" s="40" t="s">
        <v>975</v>
      </c>
      <c r="D204" s="40" t="s">
        <v>859</v>
      </c>
      <c r="E204" s="40"/>
      <c r="F204" s="55">
        <v>18</v>
      </c>
      <c r="G204" s="55">
        <v>1500</v>
      </c>
      <c r="H204" s="55">
        <v>921</v>
      </c>
      <c r="I204" s="40">
        <v>1</v>
      </c>
      <c r="J204" s="46">
        <f>((G204+F204)*3.142*2*0.001+H204*2*0.001)*I204</f>
        <v>11.381112</v>
      </c>
      <c r="K204" s="40" t="s">
        <v>870</v>
      </c>
      <c r="L204" s="40">
        <f>VLOOKUP(F204,BM!$B$3:$Y$58,4,FALSE)</f>
        <v>0.15</v>
      </c>
      <c r="M204" s="40"/>
      <c r="N204" s="49">
        <f t="shared" si="37"/>
        <v>1.7071668</v>
      </c>
      <c r="O204" s="40">
        <v>1</v>
      </c>
      <c r="P204" s="57">
        <f t="shared" si="36"/>
        <v>2.7071668</v>
      </c>
    </row>
    <row r="205" spans="2:16" ht="18.75" customHeight="1">
      <c r="B205" s="338"/>
      <c r="C205" s="40" t="s">
        <v>976</v>
      </c>
      <c r="D205" s="40" t="s">
        <v>859</v>
      </c>
      <c r="E205" s="40"/>
      <c r="F205" s="55">
        <v>18</v>
      </c>
      <c r="G205" s="55">
        <v>1500</v>
      </c>
      <c r="H205" s="55">
        <v>921</v>
      </c>
      <c r="I205" s="40">
        <v>1</v>
      </c>
      <c r="J205" s="46">
        <f>(G205+F205)*3.142*0.001*2</f>
        <v>9.5391119999999994</v>
      </c>
      <c r="K205" s="40" t="s">
        <v>870</v>
      </c>
      <c r="L205" s="40">
        <f>VLOOKUP(F205,BM!$B$3:$Y$58,5,FALSE)</f>
        <v>0.5</v>
      </c>
      <c r="M205" s="40"/>
      <c r="N205" s="49">
        <f t="shared" si="37"/>
        <v>4.7695559999999997</v>
      </c>
      <c r="O205" s="40">
        <v>1</v>
      </c>
      <c r="P205" s="57">
        <f t="shared" si="36"/>
        <v>5.7695559999999997</v>
      </c>
    </row>
    <row r="206" spans="2:16" ht="18.75" customHeight="1">
      <c r="B206" s="338"/>
      <c r="C206" s="40" t="s">
        <v>977</v>
      </c>
      <c r="D206" s="40" t="s">
        <v>859</v>
      </c>
      <c r="E206" s="40"/>
      <c r="F206" s="55">
        <v>18</v>
      </c>
      <c r="G206" s="55">
        <v>1500</v>
      </c>
      <c r="H206" s="55">
        <v>921</v>
      </c>
      <c r="I206" s="40">
        <v>1</v>
      </c>
      <c r="J206" s="46">
        <f>(G206+F206)*3.142*0.001*2</f>
        <v>9.5391119999999994</v>
      </c>
      <c r="K206" s="40" t="s">
        <v>870</v>
      </c>
      <c r="L206" s="40">
        <f>VLOOKUP(F206,BM!$B$3:$Y$58,6,FALSE)</f>
        <v>1</v>
      </c>
      <c r="M206" s="40"/>
      <c r="N206" s="49">
        <f t="shared" si="37"/>
        <v>9.5391119999999994</v>
      </c>
      <c r="O206" s="40">
        <v>1</v>
      </c>
      <c r="P206" s="57">
        <f t="shared" si="36"/>
        <v>10.539111999999999</v>
      </c>
    </row>
    <row r="207" spans="2:16" ht="18.75" customHeight="1">
      <c r="B207" s="338"/>
      <c r="C207" s="40" t="s">
        <v>978</v>
      </c>
      <c r="D207" s="40" t="s">
        <v>859</v>
      </c>
      <c r="E207" s="40" t="s">
        <v>581</v>
      </c>
      <c r="F207" s="55">
        <v>18</v>
      </c>
      <c r="G207" s="55">
        <v>1500</v>
      </c>
      <c r="H207" s="55">
        <v>921</v>
      </c>
      <c r="I207" s="40">
        <v>1</v>
      </c>
      <c r="J207" s="42">
        <v>1</v>
      </c>
      <c r="K207" s="40"/>
      <c r="L207" s="40">
        <v>2</v>
      </c>
      <c r="M207" s="40"/>
      <c r="N207" s="49">
        <f t="shared" si="37"/>
        <v>2</v>
      </c>
      <c r="O207" s="40">
        <v>1</v>
      </c>
      <c r="P207" s="57">
        <f t="shared" si="36"/>
        <v>3</v>
      </c>
    </row>
    <row r="208" spans="2:16" ht="18.75" customHeight="1">
      <c r="B208" s="338"/>
      <c r="C208" s="40" t="s">
        <v>979</v>
      </c>
      <c r="D208" s="40" t="s">
        <v>859</v>
      </c>
      <c r="E208" s="40"/>
      <c r="F208" s="55">
        <v>18</v>
      </c>
      <c r="G208" s="55">
        <v>1500</v>
      </c>
      <c r="H208" s="55">
        <v>921</v>
      </c>
      <c r="I208" s="40">
        <v>1</v>
      </c>
      <c r="J208" s="42">
        <f>H208*0.002*2+I208</f>
        <v>4.6840000000000002</v>
      </c>
      <c r="K208" s="40" t="s">
        <v>870</v>
      </c>
      <c r="L208" s="40">
        <f>VLOOKUP(F208,BM!$B$3:$Y$58,8,FALSE)</f>
        <v>0.3</v>
      </c>
      <c r="M208" s="40"/>
      <c r="N208" s="49">
        <f t="shared" si="37"/>
        <v>1.4052</v>
      </c>
      <c r="O208" s="40">
        <v>1</v>
      </c>
      <c r="P208" s="57">
        <f t="shared" si="36"/>
        <v>2.4051999999999998</v>
      </c>
    </row>
    <row r="209" spans="2:16" ht="18.75" customHeight="1">
      <c r="B209" s="338"/>
      <c r="C209" s="40" t="s">
        <v>980</v>
      </c>
      <c r="D209" s="40" t="s">
        <v>859</v>
      </c>
      <c r="E209" s="40"/>
      <c r="F209" s="55">
        <v>18</v>
      </c>
      <c r="G209" s="55">
        <v>1500</v>
      </c>
      <c r="H209" s="55">
        <v>921</v>
      </c>
      <c r="I209" s="40">
        <v>1</v>
      </c>
      <c r="J209" s="42">
        <f>G209*0.001*2</f>
        <v>3</v>
      </c>
      <c r="K209" s="40" t="s">
        <v>870</v>
      </c>
      <c r="L209" s="40">
        <f>VLOOKUP(F209,BM!$B$3:$Y$58,9,FALSE)</f>
        <v>1</v>
      </c>
      <c r="M209" s="40"/>
      <c r="N209" s="49">
        <f t="shared" si="37"/>
        <v>3</v>
      </c>
      <c r="O209" s="40">
        <v>1</v>
      </c>
      <c r="P209" s="57">
        <f t="shared" si="36"/>
        <v>4</v>
      </c>
    </row>
    <row r="210" spans="2:16" ht="18.75" customHeight="1">
      <c r="B210" s="339"/>
      <c r="C210" s="40" t="s">
        <v>981</v>
      </c>
      <c r="D210" s="40" t="s">
        <v>859</v>
      </c>
      <c r="E210" s="40" t="s">
        <v>581</v>
      </c>
      <c r="F210" s="55">
        <v>18</v>
      </c>
      <c r="G210" s="55">
        <v>1500</v>
      </c>
      <c r="H210" s="55">
        <v>921</v>
      </c>
      <c r="I210" s="40">
        <v>1</v>
      </c>
      <c r="J210" s="42">
        <v>1</v>
      </c>
      <c r="K210" s="40" t="s">
        <v>564</v>
      </c>
      <c r="L210" s="40">
        <v>3</v>
      </c>
      <c r="M210" s="40"/>
      <c r="N210" s="49">
        <f t="shared" si="37"/>
        <v>3</v>
      </c>
      <c r="O210" s="40">
        <v>1</v>
      </c>
      <c r="P210" s="57">
        <f t="shared" si="36"/>
        <v>4</v>
      </c>
    </row>
    <row r="211" spans="2:16" ht="18.75" customHeight="1">
      <c r="J211" s="47"/>
      <c r="K211" s="47"/>
      <c r="L211" s="48"/>
      <c r="M211" s="48"/>
      <c r="N211" s="48"/>
      <c r="O211" s="48"/>
      <c r="P211" s="48"/>
    </row>
    <row r="212" spans="2:16" ht="18.75" customHeight="1">
      <c r="C212" s="37" t="s">
        <v>850</v>
      </c>
      <c r="D212" s="38" t="s">
        <v>851</v>
      </c>
      <c r="E212" s="38"/>
      <c r="F212" s="39" t="s">
        <v>2</v>
      </c>
      <c r="G212" s="39" t="s">
        <v>892</v>
      </c>
      <c r="H212" s="39" t="s">
        <v>893</v>
      </c>
      <c r="I212" s="39" t="s">
        <v>4</v>
      </c>
      <c r="J212" s="39" t="s">
        <v>854</v>
      </c>
      <c r="K212" s="39" t="s">
        <v>5</v>
      </c>
      <c r="L212" s="39" t="s">
        <v>855</v>
      </c>
      <c r="M212" s="39" t="s">
        <v>5</v>
      </c>
      <c r="N212" s="39" t="s">
        <v>854</v>
      </c>
      <c r="O212" s="39" t="s">
        <v>856</v>
      </c>
      <c r="P212" s="39" t="s">
        <v>857</v>
      </c>
    </row>
    <row r="213" spans="2:16" ht="18.75" customHeight="1">
      <c r="B213" s="335" t="s">
        <v>1136</v>
      </c>
      <c r="C213" s="40" t="s">
        <v>982</v>
      </c>
      <c r="D213" s="40" t="s">
        <v>859</v>
      </c>
      <c r="E213" s="40"/>
      <c r="F213" s="55">
        <v>18</v>
      </c>
      <c r="G213" s="55">
        <v>1500</v>
      </c>
      <c r="H213" s="55">
        <v>921</v>
      </c>
      <c r="I213" s="40">
        <v>1</v>
      </c>
      <c r="J213" s="42">
        <f>H213*0.001*2*I213</f>
        <v>1.8420000000000001</v>
      </c>
      <c r="K213" s="40" t="s">
        <v>870</v>
      </c>
      <c r="L213" s="40">
        <f>VLOOKUP(F213,BM!$B$3:$Y$58,13,FALSE)</f>
        <v>0.45</v>
      </c>
      <c r="M213" s="40"/>
      <c r="N213" s="49">
        <f t="shared" si="37"/>
        <v>0.82890000000000008</v>
      </c>
      <c r="O213" s="40">
        <v>1</v>
      </c>
      <c r="P213" s="57"/>
    </row>
    <row r="214" spans="2:16" ht="18.75" customHeight="1">
      <c r="B214" s="336"/>
      <c r="C214" s="40" t="s">
        <v>983</v>
      </c>
      <c r="D214" s="40" t="s">
        <v>859</v>
      </c>
      <c r="E214" s="40"/>
      <c r="F214" s="55">
        <v>18</v>
      </c>
      <c r="G214" s="55">
        <v>1500</v>
      </c>
      <c r="H214" s="55">
        <v>921</v>
      </c>
      <c r="I214" s="40">
        <v>1</v>
      </c>
      <c r="J214" s="42">
        <f>H214*0.001*I214</f>
        <v>0.92100000000000004</v>
      </c>
      <c r="K214" s="40" t="s">
        <v>870</v>
      </c>
      <c r="L214" s="40">
        <f>VLOOKUP(F214,BM!$B$3:$Y$58,10,FALSE)</f>
        <v>1</v>
      </c>
      <c r="M214" s="40"/>
      <c r="N214" s="49">
        <f t="shared" ref="N214" si="38">J214*L214</f>
        <v>0.92100000000000004</v>
      </c>
      <c r="O214" s="40">
        <v>1</v>
      </c>
      <c r="P214" s="57">
        <f t="shared" ref="P214" si="39">N214+O214</f>
        <v>1.921</v>
      </c>
    </row>
    <row r="215" spans="2:16" ht="18.75" customHeight="1">
      <c r="B215" s="336"/>
      <c r="C215" s="40" t="s">
        <v>984</v>
      </c>
      <c r="D215" s="40" t="s">
        <v>859</v>
      </c>
      <c r="E215" s="40" t="s">
        <v>581</v>
      </c>
      <c r="F215" s="55">
        <v>18</v>
      </c>
      <c r="G215" s="55">
        <v>1500</v>
      </c>
      <c r="H215" s="55">
        <v>921</v>
      </c>
      <c r="I215" s="40">
        <v>1</v>
      </c>
      <c r="J215" s="42">
        <v>1</v>
      </c>
      <c r="K215" s="40" t="s">
        <v>39</v>
      </c>
      <c r="L215" s="40">
        <v>2</v>
      </c>
      <c r="M215" s="40"/>
      <c r="N215" s="49">
        <f t="shared" si="37"/>
        <v>2</v>
      </c>
      <c r="O215" s="40">
        <v>1</v>
      </c>
      <c r="P215" s="57">
        <f t="shared" si="36"/>
        <v>3</v>
      </c>
    </row>
    <row r="216" spans="2:16" ht="18.75" customHeight="1">
      <c r="B216" s="336"/>
      <c r="C216" s="40" t="s">
        <v>985</v>
      </c>
      <c r="D216" s="40" t="s">
        <v>859</v>
      </c>
      <c r="E216" s="40"/>
      <c r="F216" s="55">
        <v>18</v>
      </c>
      <c r="G216" s="55">
        <v>1500</v>
      </c>
      <c r="H216" s="55">
        <v>921</v>
      </c>
      <c r="I216" s="40">
        <v>1</v>
      </c>
      <c r="J216" s="42">
        <f>H216*0.001*I216</f>
        <v>0.92100000000000004</v>
      </c>
      <c r="K216" s="40" t="s">
        <v>870</v>
      </c>
      <c r="L216" s="40">
        <f>VLOOKUP(F216,BM!$B$3:$Y$58,12,FALSE)</f>
        <v>4.9000000000000004</v>
      </c>
      <c r="M216" s="40"/>
      <c r="N216" s="49">
        <f t="shared" si="37"/>
        <v>4.5129000000000001</v>
      </c>
      <c r="O216" s="40">
        <v>1</v>
      </c>
      <c r="P216" s="57">
        <f t="shared" si="36"/>
        <v>5.5129000000000001</v>
      </c>
    </row>
    <row r="217" spans="2:16" ht="18.75" customHeight="1">
      <c r="B217" s="336"/>
      <c r="C217" s="40" t="s">
        <v>986</v>
      </c>
      <c r="D217" s="40" t="s">
        <v>859</v>
      </c>
      <c r="E217" s="40"/>
      <c r="F217" s="55">
        <v>18</v>
      </c>
      <c r="G217" s="55">
        <v>1500</v>
      </c>
      <c r="H217" s="55">
        <v>921</v>
      </c>
      <c r="I217" s="40">
        <v>1</v>
      </c>
      <c r="J217" s="42">
        <f>H217*0.001*I217</f>
        <v>0.92100000000000004</v>
      </c>
      <c r="K217" s="40" t="s">
        <v>870</v>
      </c>
      <c r="L217" s="40">
        <f>VLOOKUP(F217,BM!$B$3:$Y$58,18,FALSE)</f>
        <v>1</v>
      </c>
      <c r="M217" s="40"/>
      <c r="N217" s="49">
        <f t="shared" si="37"/>
        <v>0.92100000000000004</v>
      </c>
      <c r="O217" s="40">
        <v>1</v>
      </c>
      <c r="P217" s="57">
        <f t="shared" si="36"/>
        <v>1.921</v>
      </c>
    </row>
    <row r="218" spans="2:16" ht="18.75" customHeight="1">
      <c r="B218" s="336"/>
      <c r="C218" s="40" t="s">
        <v>987</v>
      </c>
      <c r="D218" s="40" t="s">
        <v>859</v>
      </c>
      <c r="E218" s="40"/>
      <c r="F218" s="55">
        <v>18</v>
      </c>
      <c r="G218" s="55">
        <v>1500</v>
      </c>
      <c r="H218" s="55">
        <v>921</v>
      </c>
      <c r="I218" s="40">
        <v>1</v>
      </c>
      <c r="J218" s="42">
        <f>H218*0.001*I218</f>
        <v>0.92100000000000004</v>
      </c>
      <c r="K218" s="40" t="s">
        <v>249</v>
      </c>
      <c r="L218" s="40">
        <f>VLOOKUP(F218,BM!$B$3:$Y$58,12,FALSE)</f>
        <v>4.9000000000000004</v>
      </c>
      <c r="M218" s="40"/>
      <c r="N218" s="49">
        <f t="shared" si="37"/>
        <v>4.5129000000000001</v>
      </c>
      <c r="O218" s="40">
        <v>1</v>
      </c>
      <c r="P218" s="57">
        <f t="shared" si="36"/>
        <v>5.5129000000000001</v>
      </c>
    </row>
    <row r="219" spans="2:16" ht="18.75" customHeight="1">
      <c r="B219" s="336"/>
      <c r="C219" s="40" t="s">
        <v>988</v>
      </c>
      <c r="D219" s="40" t="s">
        <v>859</v>
      </c>
      <c r="E219" s="40"/>
      <c r="F219" s="55">
        <v>18</v>
      </c>
      <c r="G219" s="55">
        <v>1500</v>
      </c>
      <c r="H219" s="55">
        <v>921</v>
      </c>
      <c r="I219" s="40">
        <v>1</v>
      </c>
      <c r="J219" s="42">
        <f>H219*0.001*I219</f>
        <v>0.92100000000000004</v>
      </c>
      <c r="K219" s="40" t="s">
        <v>870</v>
      </c>
      <c r="L219" s="40">
        <f>VLOOKUP(F219,BM!$B$3:$Y$58,20,FALSE)</f>
        <v>0.5</v>
      </c>
      <c r="M219" s="40"/>
      <c r="N219" s="49">
        <f t="shared" si="37"/>
        <v>0.46050000000000002</v>
      </c>
      <c r="O219" s="40">
        <v>1</v>
      </c>
      <c r="P219" s="57">
        <f t="shared" si="36"/>
        <v>1.4605000000000001</v>
      </c>
    </row>
    <row r="220" spans="2:16" ht="18.75" customHeight="1">
      <c r="B220" s="336"/>
      <c r="C220" s="40" t="s">
        <v>989</v>
      </c>
      <c r="D220" s="40" t="s">
        <v>859</v>
      </c>
      <c r="E220" s="40" t="s">
        <v>581</v>
      </c>
      <c r="F220" s="55">
        <v>18</v>
      </c>
      <c r="G220" s="55">
        <v>1500</v>
      </c>
      <c r="H220" s="55">
        <v>921</v>
      </c>
      <c r="I220" s="40">
        <v>1</v>
      </c>
      <c r="J220" s="42">
        <v>1</v>
      </c>
      <c r="K220" s="40" t="s">
        <v>39</v>
      </c>
      <c r="L220" s="40">
        <f>VLOOKUP(F220,BM!$B$3:$Y$58,20,FALSE)</f>
        <v>0.5</v>
      </c>
      <c r="M220" s="40"/>
      <c r="N220" s="49">
        <f t="shared" si="37"/>
        <v>0.5</v>
      </c>
      <c r="O220" s="40">
        <v>1</v>
      </c>
      <c r="P220" s="57">
        <f t="shared" si="36"/>
        <v>1.5</v>
      </c>
    </row>
    <row r="221" spans="2:16" ht="18.75" customHeight="1">
      <c r="B221" s="340"/>
      <c r="C221" s="40" t="s">
        <v>990</v>
      </c>
      <c r="D221" s="40" t="s">
        <v>859</v>
      </c>
      <c r="E221" s="40" t="s">
        <v>581</v>
      </c>
      <c r="F221" s="55">
        <v>18</v>
      </c>
      <c r="G221" s="55">
        <v>1500</v>
      </c>
      <c r="H221" s="55">
        <v>921</v>
      </c>
      <c r="I221" s="40">
        <v>1</v>
      </c>
      <c r="J221" s="42">
        <v>1</v>
      </c>
      <c r="K221" s="40" t="s">
        <v>39</v>
      </c>
      <c r="L221" s="40">
        <v>1</v>
      </c>
      <c r="M221" s="40"/>
      <c r="N221" s="49">
        <f t="shared" si="37"/>
        <v>1</v>
      </c>
      <c r="O221" s="40"/>
      <c r="P221" s="57">
        <f t="shared" si="36"/>
        <v>1</v>
      </c>
    </row>
    <row r="222" spans="2:16" ht="18.75" customHeight="1">
      <c r="C222" s="34"/>
      <c r="D222" s="34"/>
      <c r="E222" s="34"/>
    </row>
    <row r="223" spans="2:16" ht="18.75" customHeight="1">
      <c r="C223" s="37" t="s">
        <v>850</v>
      </c>
      <c r="D223" s="38" t="s">
        <v>851</v>
      </c>
      <c r="E223" s="38"/>
      <c r="F223" s="39" t="s">
        <v>2</v>
      </c>
      <c r="G223" s="39" t="s">
        <v>892</v>
      </c>
      <c r="H223" s="39" t="s">
        <v>893</v>
      </c>
      <c r="I223" s="39" t="s">
        <v>4</v>
      </c>
      <c r="J223" s="39" t="s">
        <v>854</v>
      </c>
      <c r="K223" s="39" t="s">
        <v>5</v>
      </c>
      <c r="L223" s="39" t="s">
        <v>855</v>
      </c>
      <c r="M223" s="39" t="s">
        <v>5</v>
      </c>
      <c r="N223" s="39" t="s">
        <v>854</v>
      </c>
      <c r="O223" s="39" t="s">
        <v>856</v>
      </c>
      <c r="P223" s="39" t="s">
        <v>857</v>
      </c>
    </row>
    <row r="224" spans="2:16" ht="18.75" customHeight="1">
      <c r="B224" s="335" t="s">
        <v>1137</v>
      </c>
      <c r="C224" s="40" t="s">
        <v>991</v>
      </c>
      <c r="D224" s="40" t="s">
        <v>859</v>
      </c>
      <c r="E224" s="40"/>
      <c r="F224" s="55">
        <v>18</v>
      </c>
      <c r="G224" s="55">
        <v>1500</v>
      </c>
      <c r="H224" s="55">
        <v>921</v>
      </c>
      <c r="I224" s="40">
        <v>1</v>
      </c>
      <c r="J224" s="42">
        <f>H224*0.001*I224</f>
        <v>0.92100000000000004</v>
      </c>
      <c r="K224" s="40" t="s">
        <v>870</v>
      </c>
      <c r="L224" s="40">
        <f>VLOOKUP(F224,BM!$B$3:$Y$58,13,FALSE)</f>
        <v>0.45</v>
      </c>
      <c r="M224" s="40"/>
      <c r="N224" s="49">
        <f t="shared" si="37"/>
        <v>0.41445000000000004</v>
      </c>
      <c r="O224" s="40">
        <v>11</v>
      </c>
      <c r="P224" s="57">
        <f t="shared" si="36"/>
        <v>11.41445</v>
      </c>
    </row>
    <row r="225" spans="2:16" ht="18.75" customHeight="1">
      <c r="B225" s="336"/>
      <c r="C225" s="40" t="s">
        <v>992</v>
      </c>
      <c r="D225" s="40" t="s">
        <v>859</v>
      </c>
      <c r="E225" s="40"/>
      <c r="F225" s="55">
        <v>18</v>
      </c>
      <c r="G225" s="55">
        <v>1500</v>
      </c>
      <c r="H225" s="55">
        <v>921</v>
      </c>
      <c r="I225" s="40">
        <v>2</v>
      </c>
      <c r="J225" s="46">
        <f>(F225+G225)*3.142*0.001*I225</f>
        <v>9.5391119999999994</v>
      </c>
      <c r="K225" s="40" t="s">
        <v>870</v>
      </c>
      <c r="L225" s="40">
        <f>VLOOKUP(F225,BM!$B$3:$Y$58,16,FALSE)</f>
        <v>1</v>
      </c>
      <c r="M225" s="40"/>
      <c r="N225" s="49">
        <f t="shared" si="37"/>
        <v>9.5391119999999994</v>
      </c>
      <c r="O225" s="40">
        <v>1</v>
      </c>
      <c r="P225" s="57">
        <f t="shared" si="36"/>
        <v>10.539111999999999</v>
      </c>
    </row>
    <row r="226" spans="2:16" ht="18.75" customHeight="1">
      <c r="B226" s="336"/>
      <c r="C226" s="40" t="s">
        <v>993</v>
      </c>
      <c r="D226" s="40" t="s">
        <v>859</v>
      </c>
      <c r="E226" s="40"/>
      <c r="F226" s="55">
        <v>12</v>
      </c>
      <c r="G226" s="55">
        <v>1500</v>
      </c>
      <c r="H226" s="55">
        <v>921</v>
      </c>
      <c r="I226" s="40">
        <v>2</v>
      </c>
      <c r="J226" s="46">
        <f>(F226+G226)*3.142*0.001*I226</f>
        <v>9.5014079999999996</v>
      </c>
      <c r="K226" s="40" t="s">
        <v>870</v>
      </c>
      <c r="L226" s="40">
        <f>VLOOKUP(F226,BM!$B$3:$Y$58,17,FALSE)</f>
        <v>2.5</v>
      </c>
      <c r="M226" s="40"/>
      <c r="N226" s="49">
        <f t="shared" si="37"/>
        <v>23.753519999999998</v>
      </c>
      <c r="O226" s="40">
        <v>1</v>
      </c>
      <c r="P226" s="57">
        <f t="shared" si="36"/>
        <v>24.753519999999998</v>
      </c>
    </row>
    <row r="227" spans="2:16" ht="18.75" customHeight="1">
      <c r="B227" s="336"/>
      <c r="C227" s="40" t="s">
        <v>994</v>
      </c>
      <c r="D227" s="40" t="s">
        <v>859</v>
      </c>
      <c r="E227" s="40"/>
      <c r="F227" s="55">
        <v>18</v>
      </c>
      <c r="G227" s="55">
        <v>1500</v>
      </c>
      <c r="H227" s="55">
        <v>921</v>
      </c>
      <c r="I227" s="40">
        <v>2</v>
      </c>
      <c r="J227" s="46">
        <f>(F227+G227)*3.142*0.001*I227</f>
        <v>9.5391119999999994</v>
      </c>
      <c r="K227" s="40" t="s">
        <v>870</v>
      </c>
      <c r="L227" s="40">
        <f>VLOOKUP(F227,BM!$B$3:$Y$58,18,FALSE)</f>
        <v>1</v>
      </c>
      <c r="M227" s="40"/>
      <c r="N227" s="49">
        <f t="shared" si="37"/>
        <v>9.5391119999999994</v>
      </c>
      <c r="O227" s="40">
        <v>1</v>
      </c>
      <c r="P227" s="57">
        <f t="shared" si="36"/>
        <v>10.539111999999999</v>
      </c>
    </row>
    <row r="228" spans="2:16" ht="18.75" customHeight="1">
      <c r="B228" s="336"/>
      <c r="C228" s="40" t="s">
        <v>995</v>
      </c>
      <c r="D228" s="40" t="s">
        <v>859</v>
      </c>
      <c r="E228" s="40"/>
      <c r="F228" s="55">
        <v>8</v>
      </c>
      <c r="G228" s="55">
        <v>1500</v>
      </c>
      <c r="H228" s="55">
        <v>921</v>
      </c>
      <c r="I228" s="40">
        <v>2</v>
      </c>
      <c r="J228" s="46">
        <f>(F228+G228)*3.142*0.001*I228</f>
        <v>9.4762719999999998</v>
      </c>
      <c r="K228" s="40" t="s">
        <v>870</v>
      </c>
      <c r="L228" s="40">
        <f>VLOOKUP(F228,BM!$B$3:$Y$58,18,FALSE)</f>
        <v>1</v>
      </c>
      <c r="M228" s="40"/>
      <c r="N228" s="49">
        <f t="shared" si="37"/>
        <v>9.4762719999999998</v>
      </c>
      <c r="O228" s="40">
        <v>1</v>
      </c>
      <c r="P228" s="57">
        <f t="shared" si="36"/>
        <v>10.476272</v>
      </c>
    </row>
    <row r="229" spans="2:16" ht="18.75" customHeight="1">
      <c r="B229" s="336"/>
      <c r="C229" s="40" t="s">
        <v>996</v>
      </c>
      <c r="D229" s="40" t="s">
        <v>859</v>
      </c>
      <c r="E229" s="40"/>
      <c r="F229" s="55">
        <v>18</v>
      </c>
      <c r="G229" s="55">
        <v>1500</v>
      </c>
      <c r="H229" s="55">
        <v>921</v>
      </c>
      <c r="I229" s="40">
        <v>2</v>
      </c>
      <c r="J229" s="46">
        <f>(F229+G229)*3.142*0.001*I229</f>
        <v>9.5391119999999994</v>
      </c>
      <c r="K229" s="40" t="s">
        <v>870</v>
      </c>
      <c r="L229" s="40">
        <f>VLOOKUP(F229,BM!$B$3:$Y$58,20,FALSE)</f>
        <v>0.5</v>
      </c>
      <c r="M229" s="40"/>
      <c r="N229" s="49">
        <f t="shared" si="37"/>
        <v>4.7695559999999997</v>
      </c>
      <c r="O229" s="40">
        <v>1</v>
      </c>
      <c r="P229" s="57">
        <f t="shared" si="36"/>
        <v>5.7695559999999997</v>
      </c>
    </row>
    <row r="230" spans="2:16" ht="18.75" customHeight="1">
      <c r="B230" s="340"/>
      <c r="C230" s="40" t="s">
        <v>997</v>
      </c>
      <c r="D230" s="40" t="s">
        <v>859</v>
      </c>
      <c r="E230" s="40" t="s">
        <v>581</v>
      </c>
      <c r="F230" s="55">
        <v>18</v>
      </c>
      <c r="G230" s="55">
        <v>1500</v>
      </c>
      <c r="H230" s="55">
        <v>921</v>
      </c>
      <c r="I230" s="40">
        <v>2</v>
      </c>
      <c r="J230" s="42">
        <v>1</v>
      </c>
      <c r="K230" s="40" t="s">
        <v>564</v>
      </c>
      <c r="L230" s="40">
        <v>1</v>
      </c>
      <c r="M230" s="40"/>
      <c r="N230" s="49"/>
      <c r="O230" s="40"/>
      <c r="P230" s="57" t="s">
        <v>886</v>
      </c>
    </row>
    <row r="231" spans="2:16" ht="18.75" customHeight="1">
      <c r="C231" s="34"/>
      <c r="D231" s="34"/>
      <c r="E231" s="34"/>
    </row>
    <row r="232" spans="2:16" ht="18.75" customHeight="1">
      <c r="C232" s="37" t="s">
        <v>850</v>
      </c>
      <c r="D232" s="38" t="s">
        <v>851</v>
      </c>
      <c r="E232" s="38"/>
      <c r="F232" s="39" t="s">
        <v>2</v>
      </c>
      <c r="G232" s="39" t="s">
        <v>892</v>
      </c>
      <c r="H232" s="39" t="s">
        <v>893</v>
      </c>
      <c r="I232" s="39" t="s">
        <v>4</v>
      </c>
      <c r="J232" s="39" t="s">
        <v>854</v>
      </c>
      <c r="K232" s="39" t="s">
        <v>5</v>
      </c>
      <c r="L232" s="39" t="s">
        <v>855</v>
      </c>
      <c r="M232" s="39" t="s">
        <v>5</v>
      </c>
      <c r="N232" s="39" t="s">
        <v>854</v>
      </c>
      <c r="O232" s="39" t="s">
        <v>856</v>
      </c>
      <c r="P232" s="39" t="s">
        <v>857</v>
      </c>
    </row>
    <row r="233" spans="2:16" ht="18.75" customHeight="1">
      <c r="B233" s="341" t="s">
        <v>1138</v>
      </c>
      <c r="C233" s="40" t="s">
        <v>998</v>
      </c>
      <c r="D233" s="40" t="s">
        <v>859</v>
      </c>
      <c r="E233" s="40"/>
      <c r="F233" s="55">
        <v>18</v>
      </c>
      <c r="G233" s="55">
        <v>1500</v>
      </c>
      <c r="H233" s="55">
        <v>921</v>
      </c>
      <c r="I233" s="40">
        <v>1</v>
      </c>
      <c r="J233" s="42">
        <v>1</v>
      </c>
      <c r="K233" s="40" t="s">
        <v>564</v>
      </c>
      <c r="L233" s="40">
        <v>3</v>
      </c>
      <c r="M233" s="40"/>
      <c r="N233" s="49">
        <f t="shared" ref="N233:N281" si="40">J233*L233</f>
        <v>3</v>
      </c>
      <c r="O233" s="40">
        <v>1</v>
      </c>
      <c r="P233" s="57">
        <v>3</v>
      </c>
    </row>
    <row r="234" spans="2:16" ht="18.75" customHeight="1">
      <c r="B234" s="342"/>
      <c r="C234" s="40" t="s">
        <v>999</v>
      </c>
      <c r="D234" s="40" t="s">
        <v>581</v>
      </c>
      <c r="E234" s="40"/>
      <c r="F234" s="40" t="s">
        <v>695</v>
      </c>
      <c r="G234" s="40">
        <v>1500</v>
      </c>
      <c r="H234" s="40">
        <v>921</v>
      </c>
      <c r="I234" s="40">
        <v>2</v>
      </c>
      <c r="J234" s="42">
        <v>2</v>
      </c>
      <c r="K234" s="40" t="s">
        <v>564</v>
      </c>
      <c r="L234" s="40">
        <v>4</v>
      </c>
      <c r="M234" s="40"/>
      <c r="N234" s="49">
        <f t="shared" si="40"/>
        <v>8</v>
      </c>
      <c r="O234" s="40">
        <v>1</v>
      </c>
      <c r="P234" s="57">
        <f t="shared" ref="P234:P281" si="41">N234+O234</f>
        <v>9</v>
      </c>
    </row>
    <row r="235" spans="2:16" ht="18.75" customHeight="1">
      <c r="B235" s="342"/>
      <c r="C235" s="40" t="s">
        <v>1000</v>
      </c>
      <c r="D235" s="40" t="s">
        <v>581</v>
      </c>
      <c r="E235" s="40"/>
      <c r="F235" s="40" t="s">
        <v>695</v>
      </c>
      <c r="G235" s="55">
        <v>1500</v>
      </c>
      <c r="H235" s="55">
        <v>921</v>
      </c>
      <c r="I235" s="40">
        <v>2</v>
      </c>
      <c r="J235" s="42">
        <v>2</v>
      </c>
      <c r="K235" s="40" t="s">
        <v>564</v>
      </c>
      <c r="L235" s="40">
        <v>4</v>
      </c>
      <c r="M235" s="40"/>
      <c r="N235" s="49">
        <f t="shared" si="40"/>
        <v>8</v>
      </c>
      <c r="O235" s="40">
        <v>1</v>
      </c>
      <c r="P235" s="57">
        <f t="shared" si="41"/>
        <v>9</v>
      </c>
    </row>
    <row r="236" spans="2:16" ht="18.75" customHeight="1">
      <c r="B236" s="342"/>
      <c r="C236" s="40" t="s">
        <v>1001</v>
      </c>
      <c r="D236" s="40"/>
      <c r="E236" s="40"/>
      <c r="F236" s="55">
        <v>18</v>
      </c>
      <c r="G236" s="55">
        <v>1500</v>
      </c>
      <c r="H236" s="55">
        <v>921</v>
      </c>
      <c r="I236" s="40">
        <v>2</v>
      </c>
      <c r="J236" s="58">
        <f>16*25.4*3.142*0.001*I236</f>
        <v>2.5538175999999999</v>
      </c>
      <c r="K236" s="40" t="s">
        <v>870</v>
      </c>
      <c r="L236" s="40">
        <f>VLOOKUP(F236,BM!$B$3:$Y$58,23,FALSE)</f>
        <v>6.8</v>
      </c>
      <c r="M236" s="40"/>
      <c r="N236" s="49">
        <f t="shared" si="40"/>
        <v>17.36595968</v>
      </c>
      <c r="O236" s="40">
        <v>1</v>
      </c>
      <c r="P236" s="57">
        <f t="shared" si="41"/>
        <v>18.36595968</v>
      </c>
    </row>
    <row r="237" spans="2:16" ht="18.75" customHeight="1">
      <c r="B237" s="342"/>
      <c r="C237" s="40" t="s">
        <v>1002</v>
      </c>
      <c r="D237" s="40"/>
      <c r="E237" s="40"/>
      <c r="F237" s="55">
        <v>18</v>
      </c>
      <c r="G237" s="55">
        <v>1500</v>
      </c>
      <c r="H237" s="55">
        <v>921</v>
      </c>
      <c r="I237" s="40">
        <v>2</v>
      </c>
      <c r="J237" s="58">
        <f>16*25.4*3.142*0.001*I237</f>
        <v>2.5538175999999999</v>
      </c>
      <c r="K237" s="40" t="s">
        <v>870</v>
      </c>
      <c r="L237" s="40">
        <f>VLOOKUP(F237,BM!$B$3:$Y$58,18,FALSE)</f>
        <v>1</v>
      </c>
      <c r="M237" s="40"/>
      <c r="N237" s="49">
        <f t="shared" si="40"/>
        <v>2.5538175999999999</v>
      </c>
      <c r="O237" s="40">
        <v>1</v>
      </c>
      <c r="P237" s="57">
        <f t="shared" si="41"/>
        <v>3.5538175999999999</v>
      </c>
    </row>
    <row r="238" spans="2:16" ht="18.75" customHeight="1">
      <c r="B238" s="342"/>
      <c r="C238" s="40" t="s">
        <v>1003</v>
      </c>
      <c r="D238" s="40"/>
      <c r="E238" s="40"/>
      <c r="F238" s="55">
        <v>10</v>
      </c>
      <c r="G238" s="55">
        <v>1500</v>
      </c>
      <c r="H238" s="55">
        <v>921</v>
      </c>
      <c r="I238" s="40">
        <v>2</v>
      </c>
      <c r="J238" s="58">
        <f>16*25.4*3.142*0.001*I238</f>
        <v>2.5538175999999999</v>
      </c>
      <c r="K238" s="40" t="s">
        <v>870</v>
      </c>
      <c r="L238" s="40">
        <f>VLOOKUP(F238,BM!$B$3:$Y$58,22,FALSE)</f>
        <v>1.2</v>
      </c>
      <c r="M238" s="40"/>
      <c r="N238" s="49">
        <f t="shared" si="40"/>
        <v>3.0645811199999997</v>
      </c>
      <c r="O238" s="40">
        <v>1</v>
      </c>
      <c r="P238" s="57">
        <f t="shared" si="41"/>
        <v>4.0645811199999997</v>
      </c>
    </row>
    <row r="239" spans="2:16" ht="18.75" customHeight="1">
      <c r="B239" s="343"/>
      <c r="C239" s="40" t="s">
        <v>1004</v>
      </c>
      <c r="D239" s="40"/>
      <c r="E239" s="40"/>
      <c r="F239" s="55">
        <v>8</v>
      </c>
      <c r="G239" s="55">
        <v>1500</v>
      </c>
      <c r="H239" s="55">
        <v>921</v>
      </c>
      <c r="I239" s="40">
        <v>2</v>
      </c>
      <c r="J239" s="58">
        <f>16*25.4*3.142*0.001*I239</f>
        <v>2.5538175999999999</v>
      </c>
      <c r="K239" s="40" t="s">
        <v>870</v>
      </c>
      <c r="L239" s="40">
        <f>VLOOKUP(F239,BM!$B$3:$Y$58,20,FALSE)</f>
        <v>0.5</v>
      </c>
      <c r="M239" s="40"/>
      <c r="N239" s="49">
        <f t="shared" ref="N239" si="42">J239*L239</f>
        <v>1.2769088</v>
      </c>
      <c r="O239" s="40">
        <v>1</v>
      </c>
      <c r="P239" s="57">
        <f t="shared" ref="P239" si="43">N239+O239</f>
        <v>2.2769088000000002</v>
      </c>
    </row>
    <row r="240" spans="2:16" ht="18.75" customHeight="1">
      <c r="C240" s="34"/>
      <c r="D240" s="34"/>
      <c r="E240" s="34"/>
    </row>
    <row r="241" spans="2:16" ht="18.75" customHeight="1">
      <c r="C241" s="34"/>
      <c r="D241" s="34"/>
      <c r="E241" s="34"/>
    </row>
    <row r="242" spans="2:16" ht="18.75" customHeight="1">
      <c r="C242" s="37" t="s">
        <v>850</v>
      </c>
      <c r="D242" s="38" t="s">
        <v>851</v>
      </c>
      <c r="E242" s="38"/>
      <c r="F242" s="39" t="s">
        <v>2</v>
      </c>
      <c r="G242" s="39" t="s">
        <v>892</v>
      </c>
      <c r="H242" s="39" t="s">
        <v>893</v>
      </c>
      <c r="I242" s="39" t="s">
        <v>4</v>
      </c>
      <c r="J242" s="39" t="s">
        <v>854</v>
      </c>
      <c r="K242" s="39" t="s">
        <v>5</v>
      </c>
      <c r="L242" s="39" t="s">
        <v>855</v>
      </c>
      <c r="M242" s="39" t="s">
        <v>5</v>
      </c>
      <c r="N242" s="39" t="s">
        <v>854</v>
      </c>
      <c r="O242" s="39" t="s">
        <v>856</v>
      </c>
      <c r="P242" s="39" t="s">
        <v>857</v>
      </c>
    </row>
    <row r="243" spans="2:16" ht="18.75" customHeight="1">
      <c r="B243" s="341" t="s">
        <v>1139</v>
      </c>
      <c r="C243" s="40" t="s">
        <v>1005</v>
      </c>
      <c r="D243" s="40" t="s">
        <v>859</v>
      </c>
      <c r="E243" s="40"/>
      <c r="F243" s="55">
        <v>25</v>
      </c>
      <c r="G243" s="55">
        <v>735</v>
      </c>
      <c r="H243" s="56">
        <v>1275</v>
      </c>
      <c r="I243" s="55">
        <v>1</v>
      </c>
      <c r="J243" s="46">
        <f>(G243*2*0.001+H243*2*0.001)*I243</f>
        <v>4.0200000000000005</v>
      </c>
      <c r="K243" s="40" t="s">
        <v>870</v>
      </c>
      <c r="L243" s="40">
        <f>VLOOKUP(F243,BM!$B$3:$Y$58,2,FALSE)</f>
        <v>0.1</v>
      </c>
      <c r="M243" s="40" t="s">
        <v>895</v>
      </c>
      <c r="N243" s="49">
        <f>J243*L243</f>
        <v>0.40200000000000008</v>
      </c>
      <c r="O243" s="40">
        <v>1</v>
      </c>
      <c r="P243" s="57">
        <f>N243+O243</f>
        <v>1.4020000000000001</v>
      </c>
    </row>
    <row r="244" spans="2:16" ht="18.75" customHeight="1">
      <c r="B244" s="342"/>
      <c r="C244" s="40" t="s">
        <v>1005</v>
      </c>
      <c r="D244" s="40" t="s">
        <v>859</v>
      </c>
      <c r="E244" s="40"/>
      <c r="F244" s="55">
        <v>25</v>
      </c>
      <c r="G244" s="55">
        <v>1080</v>
      </c>
      <c r="H244" s="56">
        <v>1275</v>
      </c>
      <c r="I244" s="55">
        <v>1</v>
      </c>
      <c r="J244" s="46">
        <f t="shared" ref="J244:J246" si="44">(G244*2*0.001+H244*2*0.001)*I244</f>
        <v>4.7100000000000009</v>
      </c>
      <c r="K244" s="40" t="s">
        <v>870</v>
      </c>
      <c r="L244" s="40">
        <f>VLOOKUP(F244,BM!$B$3:$Y$58,2,FALSE)</f>
        <v>0.1</v>
      </c>
      <c r="M244" s="40" t="s">
        <v>895</v>
      </c>
      <c r="N244" s="49">
        <f t="shared" ref="N244:N249" si="45">J244*L244</f>
        <v>0.47100000000000009</v>
      </c>
      <c r="O244" s="40">
        <v>1</v>
      </c>
      <c r="P244" s="57">
        <f t="shared" ref="P244:P249" si="46">N244+O244</f>
        <v>1.4710000000000001</v>
      </c>
    </row>
    <row r="245" spans="2:16" ht="18.75" customHeight="1">
      <c r="B245" s="342"/>
      <c r="C245" s="40" t="s">
        <v>1005</v>
      </c>
      <c r="D245" s="40" t="s">
        <v>859</v>
      </c>
      <c r="E245" s="40"/>
      <c r="F245" s="55">
        <v>25</v>
      </c>
      <c r="G245" s="55">
        <v>543</v>
      </c>
      <c r="H245" s="56">
        <v>1275</v>
      </c>
      <c r="I245" s="55">
        <v>1</v>
      </c>
      <c r="J245" s="46">
        <f t="shared" si="44"/>
        <v>3.6360000000000001</v>
      </c>
      <c r="K245" s="40" t="s">
        <v>870</v>
      </c>
      <c r="L245" s="40">
        <f>VLOOKUP(F245,BM!$B$3:$Y$58,2,FALSE)</f>
        <v>0.1</v>
      </c>
      <c r="M245" s="40" t="s">
        <v>895</v>
      </c>
      <c r="N245" s="49">
        <f t="shared" si="45"/>
        <v>0.36360000000000003</v>
      </c>
      <c r="O245" s="40">
        <v>1</v>
      </c>
      <c r="P245" s="57">
        <f t="shared" si="46"/>
        <v>1.3635999999999999</v>
      </c>
    </row>
    <row r="246" spans="2:16" ht="18.75" customHeight="1">
      <c r="B246" s="342"/>
      <c r="C246" s="40" t="s">
        <v>1005</v>
      </c>
      <c r="D246" s="40" t="s">
        <v>859</v>
      </c>
      <c r="E246" s="40"/>
      <c r="F246" s="55">
        <v>25</v>
      </c>
      <c r="G246" s="55">
        <v>522</v>
      </c>
      <c r="H246" s="56">
        <v>1275</v>
      </c>
      <c r="I246" s="55">
        <v>1</v>
      </c>
      <c r="J246" s="46">
        <f t="shared" si="44"/>
        <v>3.5940000000000003</v>
      </c>
      <c r="K246" s="40" t="s">
        <v>870</v>
      </c>
      <c r="L246" s="40">
        <f>VLOOKUP(F246,BM!$B$3:$Y$58,2,FALSE)</f>
        <v>0.1</v>
      </c>
      <c r="M246" s="40" t="s">
        <v>895</v>
      </c>
      <c r="N246" s="49">
        <f t="shared" si="45"/>
        <v>0.35940000000000005</v>
      </c>
      <c r="O246" s="40">
        <v>1</v>
      </c>
      <c r="P246" s="57">
        <f t="shared" si="46"/>
        <v>1.3593999999999999</v>
      </c>
    </row>
    <row r="247" spans="2:16" ht="18.75" customHeight="1">
      <c r="B247" s="342"/>
      <c r="C247" s="40" t="s">
        <v>1006</v>
      </c>
      <c r="D247" s="40" t="s">
        <v>859</v>
      </c>
      <c r="E247" s="40"/>
      <c r="F247" s="55">
        <v>25</v>
      </c>
      <c r="G247" s="55"/>
      <c r="H247" s="56"/>
      <c r="I247" s="55"/>
      <c r="J247" s="59">
        <f>SUM(J243:J246)</f>
        <v>15.96</v>
      </c>
      <c r="K247" s="40" t="s">
        <v>870</v>
      </c>
      <c r="L247" s="40">
        <f>VLOOKUP(F247,BM!$B$3:$Y$58,3,FALSE)</f>
        <v>0.25</v>
      </c>
      <c r="M247" s="40" t="s">
        <v>895</v>
      </c>
      <c r="N247" s="49">
        <f t="shared" si="45"/>
        <v>3.99</v>
      </c>
      <c r="O247" s="40">
        <v>1</v>
      </c>
      <c r="P247" s="57">
        <f t="shared" si="46"/>
        <v>4.99</v>
      </c>
    </row>
    <row r="248" spans="2:16" ht="18.75" customHeight="1">
      <c r="B248" s="342"/>
      <c r="C248" s="40" t="s">
        <v>1007</v>
      </c>
      <c r="D248" s="40" t="s">
        <v>859</v>
      </c>
      <c r="E248" s="40"/>
      <c r="F248" s="55">
        <v>25</v>
      </c>
      <c r="G248" s="55"/>
      <c r="H248" s="56"/>
      <c r="I248" s="55">
        <v>1</v>
      </c>
      <c r="J248" s="59">
        <f>J247</f>
        <v>15.96</v>
      </c>
      <c r="K248" s="40" t="s">
        <v>870</v>
      </c>
      <c r="L248" s="40">
        <f>VLOOKUP(F248,BM!$B$3:$Y$58,4,FALSE)</f>
        <v>0.15</v>
      </c>
      <c r="M248" s="40" t="s">
        <v>895</v>
      </c>
      <c r="N248" s="49">
        <f t="shared" si="45"/>
        <v>2.3940000000000001</v>
      </c>
      <c r="O248" s="40">
        <v>1</v>
      </c>
      <c r="P248" s="57">
        <f t="shared" si="46"/>
        <v>3.3940000000000001</v>
      </c>
    </row>
    <row r="249" spans="2:16" ht="18.75" customHeight="1">
      <c r="B249" s="342"/>
      <c r="C249" s="40" t="s">
        <v>1008</v>
      </c>
      <c r="D249" s="40" t="s">
        <v>859</v>
      </c>
      <c r="E249" s="40" t="s">
        <v>581</v>
      </c>
      <c r="F249" s="55">
        <v>25</v>
      </c>
      <c r="G249" s="55"/>
      <c r="H249" s="56"/>
      <c r="I249" s="55"/>
      <c r="J249" s="46">
        <v>4</v>
      </c>
      <c r="K249" s="40" t="s">
        <v>81</v>
      </c>
      <c r="L249" s="40">
        <v>2</v>
      </c>
      <c r="M249" s="40" t="s">
        <v>39</v>
      </c>
      <c r="N249" s="49">
        <f t="shared" si="45"/>
        <v>8</v>
      </c>
      <c r="O249" s="40">
        <v>1</v>
      </c>
      <c r="P249" s="57">
        <f t="shared" si="46"/>
        <v>9</v>
      </c>
    </row>
    <row r="250" spans="2:16" ht="18.75" customHeight="1">
      <c r="B250" s="342"/>
      <c r="C250" s="40" t="s">
        <v>1009</v>
      </c>
      <c r="D250" s="40" t="s">
        <v>859</v>
      </c>
      <c r="E250" s="40"/>
      <c r="F250" s="55">
        <v>16</v>
      </c>
      <c r="G250" s="55"/>
      <c r="H250" s="56">
        <v>1291</v>
      </c>
      <c r="I250" s="55">
        <v>8</v>
      </c>
      <c r="J250" s="46">
        <f>H250*I250*0.001</f>
        <v>10.327999999999999</v>
      </c>
      <c r="K250" s="40" t="s">
        <v>870</v>
      </c>
      <c r="L250" s="40">
        <f>VLOOKUP(F250,BM!$B$3:$Y$58,23,FALSE)</f>
        <v>5.6</v>
      </c>
      <c r="M250" s="40" t="s">
        <v>895</v>
      </c>
      <c r="N250" s="49">
        <f t="shared" ref="N250:N253" si="47">J250*L250</f>
        <v>57.83679999999999</v>
      </c>
      <c r="O250" s="40">
        <v>1</v>
      </c>
      <c r="P250" s="57">
        <f t="shared" ref="P250:P253" si="48">N250+O250</f>
        <v>58.83679999999999</v>
      </c>
    </row>
    <row r="251" spans="2:16" ht="18.75" customHeight="1">
      <c r="B251" s="342"/>
      <c r="C251" s="40" t="s">
        <v>931</v>
      </c>
      <c r="D251" s="40"/>
      <c r="E251" s="41" t="s">
        <v>581</v>
      </c>
      <c r="F251" s="50"/>
      <c r="G251" s="50"/>
      <c r="H251" s="50"/>
      <c r="I251" s="50"/>
      <c r="J251" s="45">
        <v>1</v>
      </c>
      <c r="K251" s="45" t="s">
        <v>81</v>
      </c>
      <c r="L251" s="49">
        <v>6</v>
      </c>
      <c r="M251" s="40" t="s">
        <v>87</v>
      </c>
      <c r="N251" s="46">
        <f t="shared" si="47"/>
        <v>6</v>
      </c>
      <c r="O251" s="46">
        <v>1</v>
      </c>
      <c r="P251" s="46">
        <f t="shared" si="48"/>
        <v>7</v>
      </c>
    </row>
    <row r="252" spans="2:16" ht="18.75" customHeight="1">
      <c r="B252" s="342"/>
      <c r="C252" s="40" t="s">
        <v>932</v>
      </c>
      <c r="D252" s="40"/>
      <c r="E252" s="41" t="s">
        <v>581</v>
      </c>
      <c r="F252" s="50">
        <v>12</v>
      </c>
      <c r="G252" s="50"/>
      <c r="H252" s="50"/>
      <c r="I252" s="50"/>
      <c r="J252" s="45">
        <v>1</v>
      </c>
      <c r="K252" s="45" t="s">
        <v>81</v>
      </c>
      <c r="L252" s="49">
        <v>4</v>
      </c>
      <c r="M252" s="40" t="s">
        <v>87</v>
      </c>
      <c r="N252" s="46">
        <f t="shared" si="47"/>
        <v>4</v>
      </c>
      <c r="O252" s="46">
        <v>1</v>
      </c>
      <c r="P252" s="46">
        <f t="shared" si="48"/>
        <v>5</v>
      </c>
    </row>
    <row r="253" spans="2:16" ht="18.75" customHeight="1">
      <c r="B253" s="343"/>
      <c r="C253" s="40" t="s">
        <v>1010</v>
      </c>
      <c r="D253" s="40"/>
      <c r="E253" s="41" t="s">
        <v>581</v>
      </c>
      <c r="F253" s="50"/>
      <c r="G253" s="50"/>
      <c r="H253" s="50"/>
      <c r="I253" s="50"/>
      <c r="J253" s="45">
        <v>1</v>
      </c>
      <c r="K253" s="45" t="s">
        <v>81</v>
      </c>
      <c r="L253" s="49">
        <v>12</v>
      </c>
      <c r="M253" s="40" t="s">
        <v>87</v>
      </c>
      <c r="N253" s="46">
        <f t="shared" si="47"/>
        <v>12</v>
      </c>
      <c r="O253" s="46">
        <v>1</v>
      </c>
      <c r="P253" s="46">
        <f t="shared" si="48"/>
        <v>13</v>
      </c>
    </row>
    <row r="254" spans="2:16" ht="18.75" customHeight="1">
      <c r="C254" s="34"/>
      <c r="D254" s="34"/>
      <c r="E254" s="34"/>
    </row>
    <row r="255" spans="2:16" ht="18.75" customHeight="1">
      <c r="C255" s="37" t="s">
        <v>850</v>
      </c>
      <c r="D255" s="38" t="s">
        <v>851</v>
      </c>
      <c r="E255" s="38"/>
      <c r="F255" s="39" t="s">
        <v>2</v>
      </c>
      <c r="G255" s="39" t="s">
        <v>892</v>
      </c>
      <c r="H255" s="39" t="s">
        <v>893</v>
      </c>
      <c r="I255" s="39" t="s">
        <v>4</v>
      </c>
      <c r="J255" s="39" t="s">
        <v>854</v>
      </c>
      <c r="K255" s="39" t="s">
        <v>5</v>
      </c>
      <c r="L255" s="39" t="s">
        <v>855</v>
      </c>
      <c r="M255" s="39" t="s">
        <v>5</v>
      </c>
      <c r="N255" s="39" t="s">
        <v>854</v>
      </c>
      <c r="O255" s="39" t="s">
        <v>856</v>
      </c>
      <c r="P255" s="39" t="s">
        <v>857</v>
      </c>
    </row>
    <row r="256" spans="2:16" ht="18.75" customHeight="1">
      <c r="B256" s="341" t="s">
        <v>1140</v>
      </c>
      <c r="C256" s="40" t="s">
        <v>1011</v>
      </c>
      <c r="D256" s="40" t="s">
        <v>859</v>
      </c>
      <c r="E256" s="40"/>
      <c r="F256" s="40">
        <v>35</v>
      </c>
      <c r="G256" s="55">
        <v>1445</v>
      </c>
      <c r="H256" s="45"/>
      <c r="I256" s="40">
        <v>1</v>
      </c>
      <c r="J256" s="59">
        <f>G256*1.18/1000*I256</f>
        <v>1.7050999999999998</v>
      </c>
      <c r="K256" s="40" t="s">
        <v>870</v>
      </c>
      <c r="L256" s="40">
        <f>VLOOKUP(F256,BM!$B$3:$Y$58,2,FALSE)</f>
        <v>0.1</v>
      </c>
      <c r="M256" s="40"/>
      <c r="N256" s="59">
        <f t="shared" si="40"/>
        <v>0.17050999999999999</v>
      </c>
      <c r="O256" s="40">
        <v>1</v>
      </c>
      <c r="P256" s="60">
        <f t="shared" si="41"/>
        <v>1.1705099999999999</v>
      </c>
    </row>
    <row r="257" spans="2:16" ht="18.75" customHeight="1">
      <c r="B257" s="342"/>
      <c r="C257" s="40" t="s">
        <v>1012</v>
      </c>
      <c r="D257" s="40" t="s">
        <v>859</v>
      </c>
      <c r="E257" s="40"/>
      <c r="F257" s="40">
        <v>30</v>
      </c>
      <c r="G257" s="55">
        <v>1445</v>
      </c>
      <c r="H257" s="45"/>
      <c r="I257" s="40">
        <v>1</v>
      </c>
      <c r="J257" s="59">
        <f t="shared" ref="J257:J260" si="49">G257*1.18/1000*I257</f>
        <v>1.7050999999999998</v>
      </c>
      <c r="K257" s="40" t="s">
        <v>870</v>
      </c>
      <c r="L257" s="40">
        <f>VLOOKUP(F257,BM!$B$3:$Y$58,3,FALSE)</f>
        <v>0.25</v>
      </c>
      <c r="M257" s="40"/>
      <c r="N257" s="59">
        <f t="shared" si="40"/>
        <v>0.42627499999999996</v>
      </c>
      <c r="O257" s="40">
        <v>1</v>
      </c>
      <c r="P257" s="60">
        <f t="shared" si="41"/>
        <v>1.426275</v>
      </c>
    </row>
    <row r="258" spans="2:16" ht="18.75" customHeight="1">
      <c r="B258" s="342"/>
      <c r="C258" s="40" t="s">
        <v>1013</v>
      </c>
      <c r="D258" s="40" t="s">
        <v>859</v>
      </c>
      <c r="E258" s="40"/>
      <c r="F258" s="40">
        <v>30</v>
      </c>
      <c r="G258" s="55">
        <v>1445</v>
      </c>
      <c r="H258" s="45"/>
      <c r="I258" s="40">
        <v>1</v>
      </c>
      <c r="J258" s="59">
        <f t="shared" si="49"/>
        <v>1.7050999999999998</v>
      </c>
      <c r="K258" s="40" t="s">
        <v>870</v>
      </c>
      <c r="L258" s="40">
        <f>VLOOKUP(F258,BM!$B$3:$Y$58,4,FALSE)</f>
        <v>0.15</v>
      </c>
      <c r="M258" s="40"/>
      <c r="N258" s="59">
        <f t="shared" si="40"/>
        <v>0.25576499999999996</v>
      </c>
      <c r="O258" s="40">
        <v>1</v>
      </c>
      <c r="P258" s="60">
        <f t="shared" si="41"/>
        <v>1.255765</v>
      </c>
    </row>
    <row r="259" spans="2:16" ht="18.75" customHeight="1">
      <c r="B259" s="342"/>
      <c r="C259" s="40" t="s">
        <v>1014</v>
      </c>
      <c r="D259" s="40" t="s">
        <v>859</v>
      </c>
      <c r="E259" s="40" t="s">
        <v>581</v>
      </c>
      <c r="F259" s="40">
        <v>30</v>
      </c>
      <c r="G259" s="55">
        <v>1445</v>
      </c>
      <c r="H259" s="45"/>
      <c r="I259" s="40">
        <v>1</v>
      </c>
      <c r="J259" s="59">
        <f t="shared" si="49"/>
        <v>1.7050999999999998</v>
      </c>
      <c r="K259" s="40" t="s">
        <v>564</v>
      </c>
      <c r="L259" s="40">
        <v>10</v>
      </c>
      <c r="M259" s="40" t="s">
        <v>1015</v>
      </c>
      <c r="N259" s="59"/>
      <c r="O259" s="40"/>
      <c r="P259" s="60" t="s">
        <v>1016</v>
      </c>
    </row>
    <row r="260" spans="2:16" ht="18.75" customHeight="1">
      <c r="B260" s="342"/>
      <c r="C260" s="40" t="s">
        <v>1017</v>
      </c>
      <c r="D260" s="40" t="s">
        <v>859</v>
      </c>
      <c r="E260" s="40"/>
      <c r="F260" s="40">
        <v>30</v>
      </c>
      <c r="G260" s="55">
        <v>1445</v>
      </c>
      <c r="H260" s="45"/>
      <c r="I260" s="40">
        <v>1</v>
      </c>
      <c r="J260" s="59">
        <f t="shared" si="49"/>
        <v>1.7050999999999998</v>
      </c>
      <c r="K260" s="40" t="s">
        <v>870</v>
      </c>
      <c r="L260" s="40">
        <f>VLOOKUP(F260,BM!$B$3:$Y$58,2,FALSE)</f>
        <v>0.1</v>
      </c>
      <c r="M260" s="40"/>
      <c r="N260" s="59">
        <f t="shared" ref="N260:N261" si="50">J260*L260</f>
        <v>0.17050999999999999</v>
      </c>
      <c r="O260" s="40">
        <v>1</v>
      </c>
      <c r="P260" s="60">
        <f t="shared" ref="P260:P261" si="51">N260+O260</f>
        <v>1.1705099999999999</v>
      </c>
    </row>
    <row r="261" spans="2:16" ht="18.75" customHeight="1">
      <c r="B261" s="342"/>
      <c r="C261" s="40" t="s">
        <v>1012</v>
      </c>
      <c r="D261" s="40" t="s">
        <v>859</v>
      </c>
      <c r="E261" s="40"/>
      <c r="F261" s="40">
        <v>30</v>
      </c>
      <c r="G261" s="55">
        <v>1445</v>
      </c>
      <c r="H261" s="45"/>
      <c r="I261" s="40">
        <v>1</v>
      </c>
      <c r="J261" s="59">
        <f>G261*3.142*I261*0.001</f>
        <v>4.5401899999999999</v>
      </c>
      <c r="K261" s="40" t="s">
        <v>870</v>
      </c>
      <c r="L261" s="40">
        <f>VLOOKUP(F261,BM!$B$3:$Y$58,3,FALSE)</f>
        <v>0.25</v>
      </c>
      <c r="M261" s="40"/>
      <c r="N261" s="59">
        <f t="shared" si="50"/>
        <v>1.1350475</v>
      </c>
      <c r="O261" s="40">
        <v>1</v>
      </c>
      <c r="P261" s="60">
        <f t="shared" si="51"/>
        <v>2.1350474999999998</v>
      </c>
    </row>
    <row r="262" spans="2:16" ht="18.75" customHeight="1">
      <c r="B262" s="342"/>
      <c r="C262" s="40" t="s">
        <v>1018</v>
      </c>
      <c r="D262" s="40" t="s">
        <v>859</v>
      </c>
      <c r="E262" s="40"/>
      <c r="F262" s="40">
        <v>30</v>
      </c>
      <c r="G262" s="55">
        <v>1445</v>
      </c>
      <c r="H262" s="45" t="s">
        <v>1019</v>
      </c>
      <c r="I262" s="40">
        <v>2</v>
      </c>
      <c r="J262" s="59">
        <f>G262*3.142*I262*0.001</f>
        <v>9.0803799999999999</v>
      </c>
      <c r="K262" s="40" t="s">
        <v>870</v>
      </c>
      <c r="L262" s="40">
        <f>VLOOKUP(F262,BM!$B$3:$Y$58,5,FALSE)</f>
        <v>0.5</v>
      </c>
      <c r="M262" s="40"/>
      <c r="N262" s="59">
        <f t="shared" ref="N262:N263" si="52">J262*L262</f>
        <v>4.5401899999999999</v>
      </c>
      <c r="O262" s="40">
        <v>1</v>
      </c>
      <c r="P262" s="60">
        <f t="shared" ref="P262:P263" si="53">N262+O262</f>
        <v>5.5401899999999999</v>
      </c>
    </row>
    <row r="263" spans="2:16" ht="18.75" customHeight="1">
      <c r="B263" s="342"/>
      <c r="C263" s="40" t="s">
        <v>1020</v>
      </c>
      <c r="D263" s="40" t="s">
        <v>859</v>
      </c>
      <c r="E263" s="40"/>
      <c r="F263" s="40">
        <v>30</v>
      </c>
      <c r="G263" s="55">
        <f>1450</f>
        <v>1450</v>
      </c>
      <c r="H263" s="45"/>
      <c r="I263" s="40">
        <v>2</v>
      </c>
      <c r="J263" s="59">
        <f t="shared" ref="J263:J265" si="54">G263*3.142*I263*0.001</f>
        <v>9.1117999999999988</v>
      </c>
      <c r="K263" s="40" t="s">
        <v>870</v>
      </c>
      <c r="L263" s="40">
        <f>VLOOKUP(F263,BM!$B$3:$Y$58,6,FALSE)</f>
        <v>1</v>
      </c>
      <c r="M263" s="40"/>
      <c r="N263" s="59">
        <f t="shared" si="52"/>
        <v>9.1117999999999988</v>
      </c>
      <c r="O263" s="40">
        <v>1</v>
      </c>
      <c r="P263" s="60">
        <f t="shared" si="53"/>
        <v>10.111799999999999</v>
      </c>
    </row>
    <row r="264" spans="2:16" ht="18.75" customHeight="1">
      <c r="B264" s="342"/>
      <c r="C264" s="40" t="s">
        <v>1021</v>
      </c>
      <c r="D264" s="40" t="s">
        <v>859</v>
      </c>
      <c r="E264" s="40"/>
      <c r="F264" s="40">
        <v>30</v>
      </c>
      <c r="G264" s="55">
        <f>1450</f>
        <v>1450</v>
      </c>
      <c r="H264" s="45" t="s">
        <v>1019</v>
      </c>
      <c r="I264" s="40">
        <v>1</v>
      </c>
      <c r="J264" s="59">
        <f t="shared" si="54"/>
        <v>4.5558999999999994</v>
      </c>
      <c r="K264" s="40" t="s">
        <v>870</v>
      </c>
      <c r="L264" s="40">
        <f>VLOOKUP(F264,BM!$B$3:$Y$58,16,FALSE)</f>
        <v>1</v>
      </c>
      <c r="M264" s="40"/>
      <c r="N264" s="59">
        <f t="shared" ref="N264:N269" si="55">J264*L264</f>
        <v>4.5558999999999994</v>
      </c>
      <c r="O264" s="40">
        <v>1</v>
      </c>
      <c r="P264" s="60">
        <f t="shared" ref="P264:P269" si="56">N264+O264</f>
        <v>5.5558999999999994</v>
      </c>
    </row>
    <row r="265" spans="2:16" ht="18.75" customHeight="1">
      <c r="B265" s="342"/>
      <c r="C265" s="40" t="s">
        <v>1022</v>
      </c>
      <c r="D265" s="40" t="s">
        <v>859</v>
      </c>
      <c r="E265" s="40"/>
      <c r="F265" s="40">
        <v>16</v>
      </c>
      <c r="G265" s="55">
        <f>1450</f>
        <v>1450</v>
      </c>
      <c r="H265" s="45"/>
      <c r="I265" s="40">
        <v>1</v>
      </c>
      <c r="J265" s="59">
        <f t="shared" si="54"/>
        <v>4.5558999999999994</v>
      </c>
      <c r="K265" s="40" t="s">
        <v>870</v>
      </c>
      <c r="L265" s="40">
        <f>VLOOKUP(F265,BM!$B$3:$Y$58,23,FALSE)</f>
        <v>5.6</v>
      </c>
      <c r="M265" s="40"/>
      <c r="N265" s="59">
        <f t="shared" si="55"/>
        <v>25.513039999999997</v>
      </c>
      <c r="O265" s="40">
        <v>1</v>
      </c>
      <c r="P265" s="60">
        <f t="shared" si="56"/>
        <v>26.513039999999997</v>
      </c>
    </row>
    <row r="266" spans="2:16" ht="18.75" customHeight="1">
      <c r="B266" s="342"/>
      <c r="C266" s="40" t="s">
        <v>1023</v>
      </c>
      <c r="D266" s="40" t="s">
        <v>859</v>
      </c>
      <c r="E266" s="40"/>
      <c r="F266" s="55">
        <v>25</v>
      </c>
      <c r="G266" s="55">
        <v>300</v>
      </c>
      <c r="H266" s="56">
        <v>1450</v>
      </c>
      <c r="I266" s="55">
        <v>1</v>
      </c>
      <c r="J266" s="46">
        <f>(G266*2*0.001+H266*2*0.001)*I266</f>
        <v>3.5</v>
      </c>
      <c r="K266" s="40" t="s">
        <v>870</v>
      </c>
      <c r="L266" s="40">
        <f>VLOOKUP(F266,BM!$B$3:$Y$58,2,FALSE)</f>
        <v>0.1</v>
      </c>
      <c r="M266" s="40" t="s">
        <v>895</v>
      </c>
      <c r="N266" s="49">
        <f t="shared" si="55"/>
        <v>0.35000000000000003</v>
      </c>
      <c r="O266" s="40">
        <v>1</v>
      </c>
      <c r="P266" s="57">
        <f t="shared" si="56"/>
        <v>1.35</v>
      </c>
    </row>
    <row r="267" spans="2:16" ht="18.75" customHeight="1">
      <c r="B267" s="342"/>
      <c r="C267" s="40" t="s">
        <v>1024</v>
      </c>
      <c r="D267" s="40" t="s">
        <v>859</v>
      </c>
      <c r="E267" s="40"/>
      <c r="F267" s="55">
        <v>25</v>
      </c>
      <c r="G267" s="55">
        <v>300</v>
      </c>
      <c r="H267" s="56">
        <v>1450</v>
      </c>
      <c r="I267" s="55">
        <v>1</v>
      </c>
      <c r="J267" s="46">
        <f>(G267*2*0.001+H267*2*0.001)*I267</f>
        <v>3.5</v>
      </c>
      <c r="K267" s="40" t="s">
        <v>870</v>
      </c>
      <c r="L267" s="40">
        <f>VLOOKUP(F267,BM!$B$3:$Y$58,3,FALSE)</f>
        <v>0.25</v>
      </c>
      <c r="M267" s="40" t="s">
        <v>895</v>
      </c>
      <c r="N267" s="49">
        <f t="shared" si="55"/>
        <v>0.875</v>
      </c>
      <c r="O267" s="40">
        <v>1</v>
      </c>
      <c r="P267" s="57">
        <f t="shared" si="56"/>
        <v>1.875</v>
      </c>
    </row>
    <row r="268" spans="2:16" ht="18.75" customHeight="1">
      <c r="B268" s="342"/>
      <c r="C268" s="40" t="s">
        <v>1025</v>
      </c>
      <c r="D268" s="40" t="s">
        <v>859</v>
      </c>
      <c r="E268" s="40"/>
      <c r="F268" s="55">
        <v>25</v>
      </c>
      <c r="G268" s="55">
        <v>300</v>
      </c>
      <c r="H268" s="56">
        <v>1450</v>
      </c>
      <c r="I268" s="55">
        <v>1</v>
      </c>
      <c r="J268" s="59">
        <f>J267</f>
        <v>3.5</v>
      </c>
      <c r="K268" s="40" t="s">
        <v>870</v>
      </c>
      <c r="L268" s="40">
        <f>VLOOKUP(F268,BM!$B$3:$Y$58,4,FALSE)</f>
        <v>0.15</v>
      </c>
      <c r="M268" s="40" t="s">
        <v>895</v>
      </c>
      <c r="N268" s="49">
        <f t="shared" si="55"/>
        <v>0.52500000000000002</v>
      </c>
      <c r="O268" s="40">
        <v>1</v>
      </c>
      <c r="P268" s="57">
        <f t="shared" si="56"/>
        <v>1.5249999999999999</v>
      </c>
    </row>
    <row r="269" spans="2:16" ht="18.75" customHeight="1">
      <c r="B269" s="342"/>
      <c r="C269" s="40" t="s">
        <v>1026</v>
      </c>
      <c r="D269" s="40" t="s">
        <v>859</v>
      </c>
      <c r="E269" s="40" t="s">
        <v>581</v>
      </c>
      <c r="F269" s="55">
        <v>25</v>
      </c>
      <c r="G269" s="55"/>
      <c r="H269" s="56"/>
      <c r="I269" s="55"/>
      <c r="J269" s="46">
        <v>1</v>
      </c>
      <c r="K269" s="40" t="s">
        <v>81</v>
      </c>
      <c r="L269" s="40">
        <v>4</v>
      </c>
      <c r="M269" s="40" t="s">
        <v>39</v>
      </c>
      <c r="N269" s="49">
        <f t="shared" si="55"/>
        <v>4</v>
      </c>
      <c r="O269" s="40">
        <v>1</v>
      </c>
      <c r="P269" s="57">
        <f t="shared" si="56"/>
        <v>5</v>
      </c>
    </row>
    <row r="270" spans="2:16" ht="18.75" customHeight="1">
      <c r="B270" s="342"/>
      <c r="C270" s="40" t="s">
        <v>1027</v>
      </c>
      <c r="D270" s="40" t="s">
        <v>859</v>
      </c>
      <c r="E270" s="40"/>
      <c r="F270" s="55">
        <v>18</v>
      </c>
      <c r="G270" s="55"/>
      <c r="H270" s="56">
        <v>1450</v>
      </c>
      <c r="I270" s="55">
        <v>2</v>
      </c>
      <c r="J270" s="46">
        <f>H270*I270*0.001</f>
        <v>2.9</v>
      </c>
      <c r="K270" s="40" t="s">
        <v>870</v>
      </c>
      <c r="L270" s="40">
        <f>VLOOKUP(F270,BM!$B$3:$Y$58,22,FALSE)</f>
        <v>3.4</v>
      </c>
      <c r="M270" s="40" t="s">
        <v>895</v>
      </c>
      <c r="N270" s="49">
        <f t="shared" ref="N270" si="57">J270*L270</f>
        <v>9.86</v>
      </c>
      <c r="O270" s="40">
        <v>1</v>
      </c>
      <c r="P270" s="57">
        <f t="shared" ref="P270" si="58">N270+O270</f>
        <v>10.86</v>
      </c>
    </row>
    <row r="271" spans="2:16" ht="18.75" customHeight="1">
      <c r="B271" s="343"/>
      <c r="C271" s="40" t="s">
        <v>1028</v>
      </c>
      <c r="D271" s="40"/>
      <c r="E271" s="40"/>
      <c r="F271" s="55"/>
      <c r="G271" s="55"/>
      <c r="H271" s="56"/>
      <c r="I271" s="55"/>
      <c r="J271" s="46"/>
      <c r="K271" s="40"/>
      <c r="L271" s="40"/>
      <c r="M271" s="40"/>
      <c r="N271" s="49"/>
      <c r="O271" s="40"/>
      <c r="P271" s="57">
        <v>12</v>
      </c>
    </row>
    <row r="272" spans="2:16" ht="18.75" customHeight="1">
      <c r="J272" s="47"/>
      <c r="K272" s="47"/>
      <c r="L272" s="48"/>
      <c r="M272" s="48"/>
      <c r="N272" s="48"/>
      <c r="O272" s="48"/>
      <c r="P272" s="48"/>
    </row>
    <row r="273" spans="2:16" ht="18.75" customHeight="1">
      <c r="C273" s="37" t="s">
        <v>850</v>
      </c>
      <c r="D273" s="38" t="s">
        <v>851</v>
      </c>
      <c r="E273" s="38"/>
      <c r="F273" s="39" t="s">
        <v>2</v>
      </c>
      <c r="G273" s="39" t="s">
        <v>892</v>
      </c>
      <c r="H273" s="39" t="s">
        <v>893</v>
      </c>
      <c r="I273" s="39" t="s">
        <v>4</v>
      </c>
      <c r="J273" s="39" t="s">
        <v>854</v>
      </c>
      <c r="K273" s="39" t="s">
        <v>5</v>
      </c>
      <c r="L273" s="39" t="s">
        <v>855</v>
      </c>
      <c r="M273" s="39" t="s">
        <v>5</v>
      </c>
      <c r="N273" s="39" t="s">
        <v>854</v>
      </c>
      <c r="O273" s="39" t="s">
        <v>856</v>
      </c>
      <c r="P273" s="39" t="s">
        <v>857</v>
      </c>
    </row>
    <row r="274" spans="2:16" ht="18.75" customHeight="1">
      <c r="B274" s="341" t="s">
        <v>1141</v>
      </c>
      <c r="C274" s="40" t="s">
        <v>1029</v>
      </c>
      <c r="D274" s="40" t="s">
        <v>859</v>
      </c>
      <c r="E274" s="40"/>
      <c r="F274" s="40"/>
      <c r="G274" s="40"/>
      <c r="H274" s="45"/>
      <c r="I274" s="40"/>
      <c r="J274" s="46"/>
      <c r="K274" s="40"/>
      <c r="L274" s="40"/>
      <c r="M274" s="40"/>
      <c r="N274" s="49"/>
      <c r="O274" s="40"/>
      <c r="P274" s="57"/>
    </row>
    <row r="275" spans="2:16" ht="18.75" customHeight="1">
      <c r="B275" s="342"/>
      <c r="C275" s="40" t="s">
        <v>1030</v>
      </c>
      <c r="D275" s="40" t="s">
        <v>859</v>
      </c>
      <c r="E275" s="40"/>
      <c r="F275" s="40">
        <v>20</v>
      </c>
      <c r="G275" s="40">
        <v>70</v>
      </c>
      <c r="H275" s="45">
        <v>8571</v>
      </c>
      <c r="I275" s="40">
        <v>2</v>
      </c>
      <c r="J275" s="46">
        <f t="shared" ref="J275:J281" si="59">(G275*2*0.001+H275*2*0.001)*I275</f>
        <v>34.564</v>
      </c>
      <c r="K275" s="40"/>
      <c r="L275" s="40">
        <f>VLOOKUP(F275,BM!$B$3:$Y$58,2,FALSE)</f>
        <v>0.1</v>
      </c>
      <c r="M275" s="40"/>
      <c r="N275" s="49">
        <f t="shared" si="40"/>
        <v>3.4564000000000004</v>
      </c>
      <c r="O275" s="40">
        <v>1</v>
      </c>
      <c r="P275" s="57">
        <f t="shared" si="41"/>
        <v>4.4564000000000004</v>
      </c>
    </row>
    <row r="276" spans="2:16" ht="18.75" customHeight="1">
      <c r="B276" s="342"/>
      <c r="C276" s="40" t="s">
        <v>1031</v>
      </c>
      <c r="D276" s="40" t="s">
        <v>859</v>
      </c>
      <c r="E276" s="40"/>
      <c r="F276" s="40"/>
      <c r="G276" s="40"/>
      <c r="H276" s="45"/>
      <c r="I276" s="40"/>
      <c r="J276" s="46"/>
      <c r="K276" s="40"/>
      <c r="L276" s="40"/>
      <c r="M276" s="40"/>
      <c r="N276" s="49"/>
      <c r="O276" s="40"/>
      <c r="P276" s="57"/>
    </row>
    <row r="277" spans="2:16" ht="18.75" customHeight="1">
      <c r="B277" s="342"/>
      <c r="C277" s="40" t="s">
        <v>1032</v>
      </c>
      <c r="D277" s="40"/>
      <c r="E277" s="40"/>
      <c r="F277" s="40"/>
      <c r="G277" s="40" t="s">
        <v>1033</v>
      </c>
      <c r="H277" s="45" t="s">
        <v>1034</v>
      </c>
      <c r="I277" s="40">
        <v>43</v>
      </c>
      <c r="J277" s="46">
        <f>I277</f>
        <v>43</v>
      </c>
      <c r="K277" s="40" t="s">
        <v>39</v>
      </c>
      <c r="L277" s="57">
        <f>1/60*5</f>
        <v>8.3333333333333329E-2</v>
      </c>
      <c r="M277" s="40" t="s">
        <v>1035</v>
      </c>
      <c r="N277" s="49">
        <f t="shared" si="40"/>
        <v>3.583333333333333</v>
      </c>
      <c r="O277" s="40"/>
      <c r="P277" s="57"/>
    </row>
    <row r="278" spans="2:16" ht="18.75" customHeight="1">
      <c r="B278" s="342"/>
      <c r="C278" s="40" t="s">
        <v>1036</v>
      </c>
      <c r="D278" s="40"/>
      <c r="E278" s="40"/>
      <c r="F278" s="40"/>
      <c r="G278" s="40" t="s">
        <v>1033</v>
      </c>
      <c r="H278" s="45" t="s">
        <v>1037</v>
      </c>
      <c r="I278" s="40">
        <v>7</v>
      </c>
      <c r="J278" s="46">
        <f>I278</f>
        <v>7</v>
      </c>
      <c r="K278" s="40" t="s">
        <v>39</v>
      </c>
      <c r="L278" s="57">
        <f>1/60*5</f>
        <v>8.3333333333333329E-2</v>
      </c>
      <c r="M278" s="40" t="s">
        <v>1035</v>
      </c>
      <c r="N278" s="49">
        <f t="shared" si="40"/>
        <v>0.58333333333333326</v>
      </c>
      <c r="O278" s="40"/>
      <c r="P278" s="57"/>
    </row>
    <row r="279" spans="2:16" ht="18.75" customHeight="1">
      <c r="B279" s="342"/>
      <c r="C279" s="40" t="s">
        <v>1038</v>
      </c>
      <c r="D279" s="40"/>
      <c r="E279" s="40"/>
      <c r="F279" s="40"/>
      <c r="G279" s="40" t="s">
        <v>1039</v>
      </c>
      <c r="H279" s="45" t="s">
        <v>1040</v>
      </c>
      <c r="I279" s="40">
        <v>14</v>
      </c>
      <c r="J279" s="46">
        <f>I279</f>
        <v>14</v>
      </c>
      <c r="K279" s="40" t="s">
        <v>39</v>
      </c>
      <c r="L279" s="57">
        <f>1/60*5</f>
        <v>8.3333333333333329E-2</v>
      </c>
      <c r="M279" s="40" t="s">
        <v>1035</v>
      </c>
      <c r="N279" s="49">
        <f t="shared" ref="N279:N280" si="60">J279*L279</f>
        <v>1.1666666666666665</v>
      </c>
      <c r="O279" s="40"/>
      <c r="P279" s="57"/>
    </row>
    <row r="280" spans="2:16" ht="18.75" customHeight="1">
      <c r="B280" s="342"/>
      <c r="C280" s="40" t="s">
        <v>1041</v>
      </c>
      <c r="D280" s="40"/>
      <c r="E280" s="40"/>
      <c r="F280" s="40"/>
      <c r="G280" s="40" t="s">
        <v>1042</v>
      </c>
      <c r="H280" s="45"/>
      <c r="I280" s="40">
        <f>838/2</f>
        <v>419</v>
      </c>
      <c r="J280" s="46">
        <f>I280</f>
        <v>419</v>
      </c>
      <c r="K280" s="40" t="s">
        <v>39</v>
      </c>
      <c r="L280" s="57">
        <f>1/60*5</f>
        <v>8.3333333333333329E-2</v>
      </c>
      <c r="M280" s="40" t="s">
        <v>1035</v>
      </c>
      <c r="N280" s="49">
        <f t="shared" si="60"/>
        <v>34.916666666666664</v>
      </c>
      <c r="O280" s="40"/>
      <c r="P280" s="57"/>
    </row>
    <row r="281" spans="2:16" ht="18.75" customHeight="1">
      <c r="B281" s="343"/>
      <c r="C281" s="40" t="s">
        <v>1043</v>
      </c>
      <c r="D281" s="40" t="s">
        <v>859</v>
      </c>
      <c r="E281" s="40"/>
      <c r="F281" s="40">
        <v>24</v>
      </c>
      <c r="G281" s="40">
        <v>100</v>
      </c>
      <c r="H281" s="45">
        <v>500</v>
      </c>
      <c r="I281" s="40">
        <v>2</v>
      </c>
      <c r="J281" s="46">
        <f t="shared" si="59"/>
        <v>2.4</v>
      </c>
      <c r="K281" s="40"/>
      <c r="L281" s="40">
        <f>VLOOKUP(F281,BM!$B$3:$Y$58,2,FALSE)</f>
        <v>0.1</v>
      </c>
      <c r="M281" s="40"/>
      <c r="N281" s="49">
        <f t="shared" si="40"/>
        <v>0.24</v>
      </c>
      <c r="O281" s="40">
        <v>1</v>
      </c>
      <c r="P281" s="57">
        <f t="shared" si="41"/>
        <v>1.24</v>
      </c>
    </row>
    <row r="282" spans="2:16" ht="18.75" customHeight="1">
      <c r="C282" s="34"/>
      <c r="D282" s="34"/>
      <c r="E282" s="34"/>
    </row>
    <row r="283" spans="2:16" ht="18.75" customHeight="1">
      <c r="C283" s="37" t="s">
        <v>850</v>
      </c>
      <c r="D283" s="38" t="s">
        <v>851</v>
      </c>
      <c r="E283" s="38"/>
      <c r="F283" s="39" t="s">
        <v>2</v>
      </c>
      <c r="G283" s="39" t="s">
        <v>892</v>
      </c>
      <c r="H283" s="39" t="s">
        <v>893</v>
      </c>
      <c r="I283" s="39" t="s">
        <v>4</v>
      </c>
      <c r="J283" s="39" t="s">
        <v>854</v>
      </c>
      <c r="K283" s="39" t="s">
        <v>5</v>
      </c>
      <c r="L283" s="39" t="s">
        <v>855</v>
      </c>
      <c r="M283" s="39" t="s">
        <v>5</v>
      </c>
      <c r="N283" s="39" t="s">
        <v>854</v>
      </c>
      <c r="O283" s="39" t="s">
        <v>856</v>
      </c>
      <c r="P283" s="39" t="s">
        <v>857</v>
      </c>
    </row>
    <row r="284" spans="2:16" ht="18.75" customHeight="1">
      <c r="B284" s="341" t="s">
        <v>1141</v>
      </c>
      <c r="C284" s="40" t="s">
        <v>1044</v>
      </c>
      <c r="D284" s="40" t="s">
        <v>859</v>
      </c>
      <c r="E284" s="40"/>
      <c r="F284" s="40"/>
      <c r="G284" s="40"/>
      <c r="H284" s="45"/>
      <c r="I284" s="40"/>
      <c r="J284" s="46"/>
      <c r="K284" s="40"/>
      <c r="L284" s="40"/>
      <c r="M284" s="40"/>
      <c r="N284" s="49"/>
      <c r="O284" s="40"/>
      <c r="P284" s="57"/>
    </row>
    <row r="285" spans="2:16" ht="18.75" customHeight="1">
      <c r="B285" s="342"/>
      <c r="C285" s="40" t="s">
        <v>1045</v>
      </c>
      <c r="D285" s="40" t="s">
        <v>859</v>
      </c>
      <c r="E285" s="40"/>
      <c r="F285" s="40">
        <v>20</v>
      </c>
      <c r="G285" s="40">
        <v>70</v>
      </c>
      <c r="H285" s="45">
        <v>8571</v>
      </c>
      <c r="I285" s="40">
        <v>2</v>
      </c>
      <c r="J285" s="46">
        <f t="shared" ref="J285" si="61">(G285*2*0.001+H285*2*0.001)*I285</f>
        <v>34.564</v>
      </c>
      <c r="K285" s="40"/>
      <c r="L285" s="40">
        <f>VLOOKUP(F285,BM!$B$3:$Y$58,3,FALSE)</f>
        <v>0.25</v>
      </c>
      <c r="M285" s="40"/>
      <c r="N285" s="49">
        <f t="shared" ref="N285" si="62">J285*L285</f>
        <v>8.641</v>
      </c>
      <c r="O285" s="40">
        <v>1</v>
      </c>
      <c r="P285" s="57">
        <f t="shared" ref="P285:P291" si="63">N285+O285</f>
        <v>9.641</v>
      </c>
    </row>
    <row r="286" spans="2:16" ht="18.75" customHeight="1">
      <c r="B286" s="342"/>
      <c r="C286" s="40" t="s">
        <v>1046</v>
      </c>
      <c r="D286" s="40" t="s">
        <v>859</v>
      </c>
      <c r="E286" s="40"/>
      <c r="F286" s="40"/>
      <c r="G286" s="40"/>
      <c r="H286" s="45"/>
      <c r="I286" s="40"/>
      <c r="J286" s="46"/>
      <c r="K286" s="40"/>
      <c r="L286" s="40"/>
      <c r="M286" s="40"/>
      <c r="N286" s="49"/>
      <c r="O286" s="40"/>
      <c r="P286" s="57"/>
    </row>
    <row r="287" spans="2:16" ht="18.75" customHeight="1">
      <c r="B287" s="342"/>
      <c r="C287" s="40" t="s">
        <v>1047</v>
      </c>
      <c r="D287" s="40"/>
      <c r="E287" s="40"/>
      <c r="F287" s="40"/>
      <c r="G287" s="40" t="s">
        <v>1033</v>
      </c>
      <c r="H287" s="45" t="s">
        <v>1034</v>
      </c>
      <c r="I287" s="40">
        <v>43</v>
      </c>
      <c r="J287" s="46">
        <f>I287</f>
        <v>43</v>
      </c>
      <c r="K287" s="40" t="s">
        <v>39</v>
      </c>
      <c r="L287" s="57">
        <f>1/60*10</f>
        <v>0.16666666666666666</v>
      </c>
      <c r="M287" s="40" t="s">
        <v>1035</v>
      </c>
      <c r="N287" s="49">
        <f t="shared" ref="N287:N291" si="64">J287*L287</f>
        <v>7.1666666666666661</v>
      </c>
      <c r="O287" s="40"/>
      <c r="P287" s="57">
        <f t="shared" si="63"/>
        <v>7.1666666666666661</v>
      </c>
    </row>
    <row r="288" spans="2:16" ht="18.75" customHeight="1">
      <c r="B288" s="342"/>
      <c r="C288" s="40" t="s">
        <v>1048</v>
      </c>
      <c r="D288" s="40"/>
      <c r="E288" s="40"/>
      <c r="F288" s="40"/>
      <c r="G288" s="40" t="s">
        <v>1033</v>
      </c>
      <c r="H288" s="45" t="s">
        <v>1037</v>
      </c>
      <c r="I288" s="40">
        <v>7</v>
      </c>
      <c r="J288" s="46">
        <f>I288</f>
        <v>7</v>
      </c>
      <c r="K288" s="40" t="s">
        <v>39</v>
      </c>
      <c r="L288" s="57">
        <f>1/60*10</f>
        <v>0.16666666666666666</v>
      </c>
      <c r="M288" s="40" t="s">
        <v>1035</v>
      </c>
      <c r="N288" s="49">
        <f t="shared" si="64"/>
        <v>1.1666666666666665</v>
      </c>
      <c r="O288" s="40"/>
      <c r="P288" s="57">
        <f t="shared" si="63"/>
        <v>1.1666666666666665</v>
      </c>
    </row>
    <row r="289" spans="2:16" ht="18.75" customHeight="1">
      <c r="B289" s="342"/>
      <c r="C289" s="40" t="s">
        <v>1049</v>
      </c>
      <c r="D289" s="40"/>
      <c r="E289" s="40"/>
      <c r="F289" s="40"/>
      <c r="G289" s="40" t="s">
        <v>1039</v>
      </c>
      <c r="H289" s="45" t="s">
        <v>1040</v>
      </c>
      <c r="I289" s="40">
        <v>14</v>
      </c>
      <c r="J289" s="46">
        <f>I289</f>
        <v>14</v>
      </c>
      <c r="K289" s="40" t="s">
        <v>39</v>
      </c>
      <c r="L289" s="57">
        <f>1/60*10</f>
        <v>0.16666666666666666</v>
      </c>
      <c r="M289" s="40" t="s">
        <v>1035</v>
      </c>
      <c r="N289" s="49">
        <f t="shared" si="64"/>
        <v>2.333333333333333</v>
      </c>
      <c r="O289" s="40"/>
      <c r="P289" s="57">
        <f t="shared" si="63"/>
        <v>2.333333333333333</v>
      </c>
    </row>
    <row r="290" spans="2:16" ht="18.75" customHeight="1">
      <c r="B290" s="342"/>
      <c r="C290" s="40" t="s">
        <v>1050</v>
      </c>
      <c r="D290" s="40"/>
      <c r="E290" s="40"/>
      <c r="F290" s="40"/>
      <c r="G290" s="40" t="s">
        <v>1042</v>
      </c>
      <c r="H290" s="45"/>
      <c r="I290" s="40">
        <f>838/2</f>
        <v>419</v>
      </c>
      <c r="J290" s="46">
        <f>I290</f>
        <v>419</v>
      </c>
      <c r="K290" s="40" t="s">
        <v>39</v>
      </c>
      <c r="L290" s="57">
        <f>1/60*5</f>
        <v>8.3333333333333329E-2</v>
      </c>
      <c r="M290" s="40" t="s">
        <v>1035</v>
      </c>
      <c r="N290" s="49">
        <f t="shared" si="64"/>
        <v>34.916666666666664</v>
      </c>
      <c r="O290" s="40"/>
      <c r="P290" s="57">
        <f t="shared" si="63"/>
        <v>34.916666666666664</v>
      </c>
    </row>
    <row r="291" spans="2:16" ht="18.75" customHeight="1">
      <c r="B291" s="343"/>
      <c r="C291" s="40" t="s">
        <v>1051</v>
      </c>
      <c r="D291" s="40" t="s">
        <v>859</v>
      </c>
      <c r="E291" s="40"/>
      <c r="F291" s="40">
        <v>24</v>
      </c>
      <c r="G291" s="40">
        <v>100</v>
      </c>
      <c r="H291" s="45">
        <v>500</v>
      </c>
      <c r="I291" s="40">
        <v>2</v>
      </c>
      <c r="J291" s="46">
        <f t="shared" ref="J291" si="65">(G291*2*0.001+H291*2*0.001)*I291</f>
        <v>2.4</v>
      </c>
      <c r="K291" s="40"/>
      <c r="L291" s="40">
        <f>VLOOKUP(F291,BM!$B$3:$Y$58,3,FALSE)</f>
        <v>0.25</v>
      </c>
      <c r="M291" s="40"/>
      <c r="N291" s="49">
        <f t="shared" si="64"/>
        <v>0.6</v>
      </c>
      <c r="O291" s="40">
        <v>1</v>
      </c>
      <c r="P291" s="57">
        <f t="shared" si="63"/>
        <v>1.6</v>
      </c>
    </row>
    <row r="292" spans="2:16" ht="18.75" customHeight="1">
      <c r="E292" s="35"/>
      <c r="F292" s="35"/>
      <c r="G292" s="35"/>
      <c r="H292" s="47"/>
      <c r="I292" s="35"/>
      <c r="J292" s="48"/>
      <c r="K292" s="35"/>
      <c r="L292" s="35"/>
      <c r="M292" s="35"/>
      <c r="N292" s="54"/>
      <c r="O292" s="35"/>
      <c r="P292" s="61"/>
    </row>
    <row r="293" spans="2:16" ht="18.75" customHeight="1">
      <c r="C293" s="37" t="s">
        <v>850</v>
      </c>
      <c r="D293" s="38" t="s">
        <v>851</v>
      </c>
      <c r="E293" s="38"/>
      <c r="F293" s="39" t="s">
        <v>2</v>
      </c>
      <c r="G293" s="39" t="s">
        <v>892</v>
      </c>
      <c r="H293" s="39" t="s">
        <v>893</v>
      </c>
      <c r="I293" s="39" t="s">
        <v>4</v>
      </c>
      <c r="J293" s="39" t="s">
        <v>854</v>
      </c>
      <c r="K293" s="39" t="s">
        <v>5</v>
      </c>
      <c r="L293" s="39" t="s">
        <v>855</v>
      </c>
      <c r="M293" s="39" t="s">
        <v>5</v>
      </c>
      <c r="N293" s="39" t="s">
        <v>854</v>
      </c>
      <c r="O293" s="39" t="s">
        <v>856</v>
      </c>
      <c r="P293" s="39" t="s">
        <v>857</v>
      </c>
    </row>
    <row r="294" spans="2:16" ht="18.75" customHeight="1">
      <c r="B294" s="341" t="s">
        <v>1141</v>
      </c>
      <c r="C294" s="40" t="s">
        <v>1052</v>
      </c>
      <c r="D294" s="40" t="s">
        <v>859</v>
      </c>
      <c r="E294" s="40"/>
      <c r="F294" s="40"/>
      <c r="G294" s="40"/>
      <c r="H294" s="45"/>
      <c r="I294" s="40"/>
      <c r="J294" s="46"/>
      <c r="K294" s="40"/>
      <c r="L294" s="40"/>
      <c r="M294" s="40"/>
      <c r="N294" s="49"/>
      <c r="O294" s="40"/>
      <c r="P294" s="57"/>
    </row>
    <row r="295" spans="2:16" ht="18.75" customHeight="1">
      <c r="B295" s="342"/>
      <c r="C295" s="40" t="s">
        <v>1053</v>
      </c>
      <c r="D295" s="40" t="s">
        <v>859</v>
      </c>
      <c r="E295" s="40"/>
      <c r="F295" s="40">
        <v>20</v>
      </c>
      <c r="G295" s="40">
        <v>70</v>
      </c>
      <c r="H295" s="45">
        <v>8571</v>
      </c>
      <c r="I295" s="40">
        <v>2</v>
      </c>
      <c r="J295" s="46">
        <v>2</v>
      </c>
      <c r="K295" s="40"/>
      <c r="L295" s="40">
        <v>8</v>
      </c>
      <c r="M295" s="40"/>
      <c r="N295" s="49">
        <f t="shared" ref="N295" si="66">J295*L295</f>
        <v>16</v>
      </c>
      <c r="O295" s="40">
        <v>1</v>
      </c>
      <c r="P295" s="57">
        <f t="shared" ref="P295:P301" si="67">N295+O295</f>
        <v>17</v>
      </c>
    </row>
    <row r="296" spans="2:16" ht="18.75" customHeight="1">
      <c r="B296" s="342"/>
      <c r="C296" s="40" t="s">
        <v>1054</v>
      </c>
      <c r="D296" s="40" t="s">
        <v>859</v>
      </c>
      <c r="E296" s="40"/>
      <c r="F296" s="40"/>
      <c r="G296" s="40"/>
      <c r="H296" s="45"/>
      <c r="I296" s="40"/>
      <c r="J296" s="46"/>
      <c r="K296" s="40"/>
      <c r="L296" s="40"/>
      <c r="M296" s="40"/>
      <c r="N296" s="49"/>
      <c r="O296" s="40"/>
      <c r="P296" s="57"/>
    </row>
    <row r="297" spans="2:16" ht="18.75" customHeight="1">
      <c r="B297" s="342"/>
      <c r="C297" s="40" t="s">
        <v>1055</v>
      </c>
      <c r="D297" s="40"/>
      <c r="E297" s="40"/>
      <c r="F297" s="40"/>
      <c r="G297" s="40" t="s">
        <v>1033</v>
      </c>
      <c r="H297" s="45" t="s">
        <v>1034</v>
      </c>
      <c r="I297" s="40">
        <v>43</v>
      </c>
      <c r="J297" s="46">
        <f>I297</f>
        <v>43</v>
      </c>
      <c r="K297" s="40" t="s">
        <v>39</v>
      </c>
      <c r="L297" s="57">
        <v>0.5</v>
      </c>
      <c r="M297" s="40" t="s">
        <v>1035</v>
      </c>
      <c r="N297" s="49">
        <f t="shared" ref="N297:N301" si="68">J297*L297</f>
        <v>21.5</v>
      </c>
      <c r="O297" s="40"/>
      <c r="P297" s="57">
        <f t="shared" si="67"/>
        <v>21.5</v>
      </c>
    </row>
    <row r="298" spans="2:16" ht="18.75" customHeight="1">
      <c r="B298" s="342"/>
      <c r="C298" s="40" t="s">
        <v>1056</v>
      </c>
      <c r="D298" s="40"/>
      <c r="E298" s="40"/>
      <c r="F298" s="40"/>
      <c r="G298" s="40" t="s">
        <v>1033</v>
      </c>
      <c r="H298" s="45" t="s">
        <v>1037</v>
      </c>
      <c r="I298" s="40">
        <v>7</v>
      </c>
      <c r="J298" s="46">
        <f>I298</f>
        <v>7</v>
      </c>
      <c r="K298" s="40" t="s">
        <v>39</v>
      </c>
      <c r="L298" s="57">
        <v>0.5</v>
      </c>
      <c r="M298" s="40" t="s">
        <v>1035</v>
      </c>
      <c r="N298" s="49">
        <f t="shared" si="68"/>
        <v>3.5</v>
      </c>
      <c r="O298" s="40"/>
      <c r="P298" s="57">
        <f t="shared" si="67"/>
        <v>3.5</v>
      </c>
    </row>
    <row r="299" spans="2:16" ht="18.75" customHeight="1">
      <c r="B299" s="342"/>
      <c r="C299" s="40" t="s">
        <v>1057</v>
      </c>
      <c r="D299" s="40"/>
      <c r="E299" s="40"/>
      <c r="F299" s="40"/>
      <c r="G299" s="40" t="s">
        <v>1039</v>
      </c>
      <c r="H299" s="45" t="s">
        <v>1040</v>
      </c>
      <c r="I299" s="40">
        <v>14</v>
      </c>
      <c r="J299" s="46">
        <f>I299</f>
        <v>14</v>
      </c>
      <c r="K299" s="40" t="s">
        <v>39</v>
      </c>
      <c r="L299" s="57">
        <v>0.5</v>
      </c>
      <c r="M299" s="40" t="s">
        <v>1035</v>
      </c>
      <c r="N299" s="49">
        <f t="shared" si="68"/>
        <v>7</v>
      </c>
      <c r="O299" s="40"/>
      <c r="P299" s="57">
        <f t="shared" si="67"/>
        <v>7</v>
      </c>
    </row>
    <row r="300" spans="2:16" ht="18.75" customHeight="1">
      <c r="B300" s="342"/>
      <c r="C300" s="40" t="s">
        <v>1058</v>
      </c>
      <c r="D300" s="40"/>
      <c r="E300" s="40"/>
      <c r="F300" s="40"/>
      <c r="G300" s="40" t="s">
        <v>1042</v>
      </c>
      <c r="H300" s="45"/>
      <c r="I300" s="40">
        <f>838/2</f>
        <v>419</v>
      </c>
      <c r="J300" s="46">
        <f>I300</f>
        <v>419</v>
      </c>
      <c r="K300" s="40" t="s">
        <v>39</v>
      </c>
      <c r="L300" s="57">
        <f>1/60*10</f>
        <v>0.16666666666666666</v>
      </c>
      <c r="M300" s="40" t="s">
        <v>1035</v>
      </c>
      <c r="N300" s="49">
        <f t="shared" si="68"/>
        <v>69.833333333333329</v>
      </c>
      <c r="O300" s="40"/>
      <c r="P300" s="57">
        <f t="shared" si="67"/>
        <v>69.833333333333329</v>
      </c>
    </row>
    <row r="301" spans="2:16" ht="18.75" customHeight="1">
      <c r="B301" s="343"/>
      <c r="C301" s="40" t="s">
        <v>1059</v>
      </c>
      <c r="D301" s="40" t="s">
        <v>859</v>
      </c>
      <c r="E301" s="40"/>
      <c r="F301" s="40">
        <v>24</v>
      </c>
      <c r="G301" s="40">
        <v>100</v>
      </c>
      <c r="H301" s="45">
        <v>500</v>
      </c>
      <c r="I301" s="40">
        <v>2</v>
      </c>
      <c r="J301" s="46">
        <v>1</v>
      </c>
      <c r="K301" s="40"/>
      <c r="L301" s="40">
        <v>6</v>
      </c>
      <c r="M301" s="40"/>
      <c r="N301" s="49">
        <f t="shared" si="68"/>
        <v>6</v>
      </c>
      <c r="O301" s="40">
        <v>1</v>
      </c>
      <c r="P301" s="57">
        <f t="shared" si="67"/>
        <v>7</v>
      </c>
    </row>
    <row r="302" spans="2:16" ht="18.75" customHeight="1">
      <c r="C302" s="34"/>
      <c r="D302" s="34"/>
      <c r="E302" s="34"/>
    </row>
    <row r="303" spans="2:16" ht="18.75" customHeight="1">
      <c r="B303" s="335" t="s">
        <v>1142</v>
      </c>
      <c r="C303" s="40" t="s">
        <v>831</v>
      </c>
      <c r="D303" s="40"/>
      <c r="E303" s="40"/>
      <c r="F303" s="40">
        <v>1000</v>
      </c>
      <c r="G303" s="40"/>
      <c r="H303" s="45"/>
      <c r="I303" s="40">
        <v>1</v>
      </c>
      <c r="J303" s="46">
        <f t="shared" ref="J303:J320" si="69">I303</f>
        <v>1</v>
      </c>
      <c r="K303" s="40"/>
      <c r="L303" s="40">
        <f>VLOOKUP(F303,BM!$B$3:$Y$58,2,FALSE)</f>
        <v>12</v>
      </c>
      <c r="M303" s="40"/>
      <c r="N303" s="49">
        <f t="shared" ref="N303:N327" si="70">J303*L303</f>
        <v>12</v>
      </c>
      <c r="O303" s="40">
        <v>1</v>
      </c>
      <c r="P303" s="57">
        <f t="shared" ref="P303:P327" si="71">N303+O303</f>
        <v>13</v>
      </c>
    </row>
    <row r="304" spans="2:16" ht="18.75" customHeight="1">
      <c r="B304" s="336"/>
      <c r="C304" s="40" t="s">
        <v>1060</v>
      </c>
      <c r="D304" s="40"/>
      <c r="E304" s="40"/>
      <c r="F304" s="40">
        <v>1000</v>
      </c>
      <c r="G304" s="40"/>
      <c r="H304" s="45"/>
      <c r="I304" s="40">
        <v>1</v>
      </c>
      <c r="J304" s="46">
        <f t="shared" si="69"/>
        <v>1</v>
      </c>
      <c r="K304" s="40" t="s">
        <v>81</v>
      </c>
      <c r="L304" s="40">
        <f>VLOOKUP(F304,BM!$B$3:$Y$58,3,FALSE)</f>
        <v>4</v>
      </c>
      <c r="M304" s="40"/>
      <c r="N304" s="49">
        <f t="shared" si="70"/>
        <v>4</v>
      </c>
      <c r="O304" s="40">
        <v>1</v>
      </c>
      <c r="P304" s="57">
        <f t="shared" si="71"/>
        <v>5</v>
      </c>
    </row>
    <row r="305" spans="2:16" ht="18.75" customHeight="1">
      <c r="B305" s="336"/>
      <c r="C305" s="40" t="s">
        <v>1061</v>
      </c>
      <c r="D305" s="40"/>
      <c r="E305" s="40"/>
      <c r="F305" s="40">
        <v>1000</v>
      </c>
      <c r="G305" s="40"/>
      <c r="H305" s="45"/>
      <c r="I305" s="40">
        <v>17</v>
      </c>
      <c r="J305" s="46">
        <f t="shared" si="69"/>
        <v>17</v>
      </c>
      <c r="K305" s="40" t="s">
        <v>81</v>
      </c>
      <c r="L305" s="40">
        <f>VLOOKUP(F305,BM!$B$3:$Y$58,4,FALSE)</f>
        <v>0.15</v>
      </c>
      <c r="M305" s="40"/>
      <c r="N305" s="49">
        <f t="shared" si="70"/>
        <v>2.5499999999999998</v>
      </c>
      <c r="O305" s="40">
        <v>1</v>
      </c>
      <c r="P305" s="57">
        <f t="shared" si="71"/>
        <v>3.55</v>
      </c>
    </row>
    <row r="306" spans="2:16" ht="18.75" customHeight="1">
      <c r="B306" s="336"/>
      <c r="C306" s="40" t="s">
        <v>1062</v>
      </c>
      <c r="D306" s="40"/>
      <c r="E306" s="40"/>
      <c r="F306" s="40">
        <v>1000</v>
      </c>
      <c r="G306" s="40"/>
      <c r="H306" s="45"/>
      <c r="I306" s="40">
        <v>22</v>
      </c>
      <c r="J306" s="46">
        <f t="shared" si="69"/>
        <v>22</v>
      </c>
      <c r="K306" s="40" t="s">
        <v>81</v>
      </c>
      <c r="L306" s="40">
        <f>VLOOKUP(F306,BM!$B$3:$Y$58,5,FALSE)</f>
        <v>0.5</v>
      </c>
      <c r="M306" s="40"/>
      <c r="N306" s="49">
        <f t="shared" si="70"/>
        <v>11</v>
      </c>
      <c r="O306" s="40">
        <v>1</v>
      </c>
      <c r="P306" s="57">
        <f t="shared" si="71"/>
        <v>12</v>
      </c>
    </row>
    <row r="307" spans="2:16" ht="18.75" customHeight="1">
      <c r="B307" s="336"/>
      <c r="C307" s="40" t="s">
        <v>835</v>
      </c>
      <c r="D307" s="40"/>
      <c r="E307" s="40"/>
      <c r="F307" s="40">
        <v>1000</v>
      </c>
      <c r="G307" s="40"/>
      <c r="H307" s="45"/>
      <c r="I307" s="40">
        <v>500</v>
      </c>
      <c r="J307" s="46">
        <f t="shared" si="69"/>
        <v>500</v>
      </c>
      <c r="K307" s="40" t="s">
        <v>81</v>
      </c>
      <c r="L307" s="62">
        <f>VLOOKUP(F307,BM!$B$3:$Y$58,6,FALSE)</f>
        <v>8.3333333333333329E-2</v>
      </c>
      <c r="M307" s="62"/>
      <c r="N307" s="49">
        <f t="shared" si="70"/>
        <v>41.666666666666664</v>
      </c>
      <c r="O307" s="40">
        <v>1</v>
      </c>
      <c r="P307" s="57">
        <f t="shared" si="71"/>
        <v>42.666666666666664</v>
      </c>
    </row>
    <row r="308" spans="2:16" ht="18.75" customHeight="1">
      <c r="B308" s="336"/>
      <c r="C308" s="40" t="s">
        <v>1063</v>
      </c>
      <c r="D308" s="40"/>
      <c r="E308" s="40"/>
      <c r="F308" s="40">
        <v>1000</v>
      </c>
      <c r="G308" s="40"/>
      <c r="H308" s="45"/>
      <c r="I308" s="40">
        <v>10</v>
      </c>
      <c r="J308" s="46">
        <f t="shared" si="69"/>
        <v>10</v>
      </c>
      <c r="K308" s="40" t="s">
        <v>81</v>
      </c>
      <c r="L308" s="40">
        <f>VLOOKUP(F308,BM!$B$3:$Y$58,10,FALSE)</f>
        <v>0.25</v>
      </c>
      <c r="M308" s="40"/>
      <c r="N308" s="49">
        <f t="shared" si="70"/>
        <v>2.5</v>
      </c>
      <c r="O308" s="40">
        <v>1</v>
      </c>
      <c r="P308" s="57">
        <f t="shared" si="71"/>
        <v>3.5</v>
      </c>
    </row>
    <row r="309" spans="2:16" ht="18.75" customHeight="1">
      <c r="B309" s="336"/>
      <c r="C309" s="40" t="s">
        <v>835</v>
      </c>
      <c r="D309" s="40"/>
      <c r="E309" s="40"/>
      <c r="F309" s="40">
        <v>1000</v>
      </c>
      <c r="G309" s="40"/>
      <c r="H309" s="45"/>
      <c r="I309" s="40">
        <v>550</v>
      </c>
      <c r="J309" s="46">
        <f t="shared" si="69"/>
        <v>550</v>
      </c>
      <c r="K309" s="40" t="s">
        <v>81</v>
      </c>
      <c r="L309" s="57">
        <f>VLOOKUP(F309,BM!$B$3:$Y$58,6,FALSE)</f>
        <v>8.3333333333333329E-2</v>
      </c>
      <c r="M309" s="57"/>
      <c r="N309" s="49">
        <f t="shared" si="70"/>
        <v>45.833333333333329</v>
      </c>
      <c r="O309" s="40">
        <v>1</v>
      </c>
      <c r="P309" s="57">
        <f t="shared" si="71"/>
        <v>46.833333333333329</v>
      </c>
    </row>
    <row r="310" spans="2:16" ht="18.75" customHeight="1">
      <c r="B310" s="336"/>
      <c r="C310" s="40" t="s">
        <v>1064</v>
      </c>
      <c r="D310" s="40"/>
      <c r="E310" s="40"/>
      <c r="F310" s="40">
        <v>1000</v>
      </c>
      <c r="G310" s="40"/>
      <c r="H310" s="45"/>
      <c r="I310" s="40">
        <v>0</v>
      </c>
      <c r="J310" s="46">
        <f t="shared" si="69"/>
        <v>0</v>
      </c>
      <c r="K310" s="40" t="s">
        <v>81</v>
      </c>
      <c r="L310" s="40">
        <f>VLOOKUP(F310,BM!$B$3:$Y$58,8,FALSE)</f>
        <v>2</v>
      </c>
      <c r="M310" s="40"/>
      <c r="N310" s="49">
        <f t="shared" si="70"/>
        <v>0</v>
      </c>
      <c r="O310" s="40">
        <v>1</v>
      </c>
      <c r="P310" s="57">
        <f t="shared" si="71"/>
        <v>1</v>
      </c>
    </row>
    <row r="311" spans="2:16" ht="18.75" customHeight="1">
      <c r="B311" s="336"/>
      <c r="C311" s="40" t="s">
        <v>1065</v>
      </c>
      <c r="D311" s="40"/>
      <c r="E311" s="40"/>
      <c r="F311" s="40">
        <v>1000</v>
      </c>
      <c r="G311" s="40"/>
      <c r="H311" s="45"/>
      <c r="I311" s="40">
        <v>2</v>
      </c>
      <c r="J311" s="46">
        <f t="shared" si="69"/>
        <v>2</v>
      </c>
      <c r="K311" s="40" t="s">
        <v>81</v>
      </c>
      <c r="L311" s="40">
        <f>VLOOKUP(F311,BM!$B$3:$Y$58,8,FALSE)</f>
        <v>2</v>
      </c>
      <c r="M311" s="40"/>
      <c r="N311" s="49">
        <f t="shared" si="70"/>
        <v>4</v>
      </c>
      <c r="O311" s="40">
        <v>1</v>
      </c>
      <c r="P311" s="57">
        <f t="shared" si="71"/>
        <v>5</v>
      </c>
    </row>
    <row r="312" spans="2:16" ht="18.75" customHeight="1">
      <c r="B312" s="336"/>
      <c r="C312" s="40" t="s">
        <v>1066</v>
      </c>
      <c r="D312" s="40"/>
      <c r="E312" s="40"/>
      <c r="F312" s="40">
        <v>1000</v>
      </c>
      <c r="G312" s="40"/>
      <c r="H312" s="45"/>
      <c r="I312" s="40">
        <v>60</v>
      </c>
      <c r="J312" s="46">
        <f t="shared" si="69"/>
        <v>60</v>
      </c>
      <c r="K312" s="40" t="s">
        <v>81</v>
      </c>
      <c r="L312" s="40">
        <f>VLOOKUP(F312,BM!$B$3:$Y$58,9,FALSE)</f>
        <v>0.25</v>
      </c>
      <c r="M312" s="40"/>
      <c r="N312" s="49">
        <f t="shared" si="70"/>
        <v>15</v>
      </c>
      <c r="O312" s="40">
        <v>1</v>
      </c>
      <c r="P312" s="57">
        <f t="shared" si="71"/>
        <v>16</v>
      </c>
    </row>
    <row r="313" spans="2:16" ht="18.75" customHeight="1">
      <c r="B313" s="336"/>
      <c r="C313" s="40" t="s">
        <v>1067</v>
      </c>
      <c r="D313" s="40"/>
      <c r="E313" s="40"/>
      <c r="F313" s="40">
        <v>1000</v>
      </c>
      <c r="G313" s="40"/>
      <c r="H313" s="45"/>
      <c r="I313" s="40">
        <v>60</v>
      </c>
      <c r="J313" s="46">
        <f t="shared" si="69"/>
        <v>60</v>
      </c>
      <c r="K313" s="40" t="s">
        <v>81</v>
      </c>
      <c r="L313" s="40">
        <v>0.15</v>
      </c>
      <c r="M313" s="40"/>
      <c r="N313" s="49">
        <f t="shared" si="70"/>
        <v>9</v>
      </c>
      <c r="O313" s="40">
        <v>1</v>
      </c>
      <c r="P313" s="57">
        <f t="shared" si="71"/>
        <v>10</v>
      </c>
    </row>
    <row r="314" spans="2:16" ht="18.75" customHeight="1">
      <c r="B314" s="336"/>
      <c r="C314" s="40" t="s">
        <v>1068</v>
      </c>
      <c r="D314" s="40"/>
      <c r="E314" s="40"/>
      <c r="F314" s="40">
        <v>1000</v>
      </c>
      <c r="G314" s="40"/>
      <c r="H314" s="45"/>
      <c r="I314" s="40">
        <v>1</v>
      </c>
      <c r="J314" s="46">
        <f t="shared" si="69"/>
        <v>1</v>
      </c>
      <c r="K314" s="40" t="s">
        <v>81</v>
      </c>
      <c r="L314" s="40">
        <f>VLOOKUP(F314,BM!$B$3:$Y$58,12,FALSE)</f>
        <v>16</v>
      </c>
      <c r="M314" s="40"/>
      <c r="N314" s="49">
        <f t="shared" si="70"/>
        <v>16</v>
      </c>
      <c r="O314" s="40">
        <v>1</v>
      </c>
      <c r="P314" s="57">
        <f t="shared" si="71"/>
        <v>17</v>
      </c>
    </row>
    <row r="315" spans="2:16" ht="18.75" customHeight="1">
      <c r="B315" s="336"/>
      <c r="C315" s="40" t="s">
        <v>1069</v>
      </c>
      <c r="D315" s="40"/>
      <c r="E315" s="40"/>
      <c r="F315" s="40">
        <v>1000</v>
      </c>
      <c r="G315" s="40"/>
      <c r="H315" s="45"/>
      <c r="I315" s="40">
        <v>1</v>
      </c>
      <c r="J315" s="46">
        <f t="shared" si="69"/>
        <v>1</v>
      </c>
      <c r="K315" s="40" t="s">
        <v>81</v>
      </c>
      <c r="L315" s="40">
        <f>VLOOKUP(F315,BM!$B$3:$Y$58,17,FALSE)</f>
        <v>16</v>
      </c>
      <c r="M315" s="40"/>
      <c r="N315" s="49">
        <f t="shared" si="70"/>
        <v>16</v>
      </c>
      <c r="O315" s="40">
        <v>1</v>
      </c>
      <c r="P315" s="57">
        <f t="shared" si="71"/>
        <v>17</v>
      </c>
    </row>
    <row r="316" spans="2:16" ht="18.75" customHeight="1">
      <c r="B316" s="336"/>
      <c r="C316" s="40" t="s">
        <v>1070</v>
      </c>
      <c r="D316" s="40"/>
      <c r="E316" s="40"/>
      <c r="F316" s="40">
        <v>1000</v>
      </c>
      <c r="G316" s="40"/>
      <c r="H316" s="45"/>
      <c r="I316" s="40">
        <v>56</v>
      </c>
      <c r="J316" s="46">
        <f t="shared" si="69"/>
        <v>56</v>
      </c>
      <c r="K316" s="40" t="s">
        <v>81</v>
      </c>
      <c r="L316" s="40">
        <f>VLOOKUP(F316,BM!$B$3:$Y$58,13,FALSE)</f>
        <v>0.5</v>
      </c>
      <c r="M316" s="40"/>
      <c r="N316" s="49">
        <f t="shared" si="70"/>
        <v>28</v>
      </c>
      <c r="O316" s="40">
        <v>1</v>
      </c>
      <c r="P316" s="57">
        <f t="shared" si="71"/>
        <v>29</v>
      </c>
    </row>
    <row r="317" spans="2:16" ht="18.75" customHeight="1">
      <c r="B317" s="336"/>
      <c r="C317" s="40" t="s">
        <v>1071</v>
      </c>
      <c r="D317" s="40"/>
      <c r="E317" s="40"/>
      <c r="F317" s="40">
        <v>1000</v>
      </c>
      <c r="G317" s="40"/>
      <c r="H317" s="45"/>
      <c r="I317" s="40">
        <v>1050</v>
      </c>
      <c r="J317" s="46">
        <f t="shared" si="69"/>
        <v>1050</v>
      </c>
      <c r="K317" s="40" t="s">
        <v>81</v>
      </c>
      <c r="L317" s="40">
        <f>VLOOKUP(F317,BM!$B$3:$Y$58,20,FALSE)</f>
        <v>0.05</v>
      </c>
      <c r="M317" s="40"/>
      <c r="N317" s="49">
        <f t="shared" si="70"/>
        <v>52.5</v>
      </c>
      <c r="O317" s="40">
        <v>1</v>
      </c>
      <c r="P317" s="57">
        <f t="shared" si="71"/>
        <v>53.5</v>
      </c>
    </row>
    <row r="318" spans="2:16" ht="18.75" customHeight="1">
      <c r="B318" s="336"/>
      <c r="C318" s="40" t="s">
        <v>1072</v>
      </c>
      <c r="D318" s="40"/>
      <c r="E318" s="40"/>
      <c r="F318" s="40">
        <v>1000</v>
      </c>
      <c r="G318" s="40"/>
      <c r="H318" s="45"/>
      <c r="I318" s="40">
        <v>1050</v>
      </c>
      <c r="J318" s="46">
        <f t="shared" si="69"/>
        <v>1050</v>
      </c>
      <c r="K318" s="40" t="s">
        <v>81</v>
      </c>
      <c r="L318" s="40">
        <f>VLOOKUP(F318,BM!$B$3:$Y$58,20,FALSE)</f>
        <v>0.05</v>
      </c>
      <c r="M318" s="40"/>
      <c r="N318" s="49">
        <f t="shared" si="70"/>
        <v>52.5</v>
      </c>
      <c r="O318" s="40">
        <v>1</v>
      </c>
      <c r="P318" s="57">
        <f t="shared" si="71"/>
        <v>53.5</v>
      </c>
    </row>
    <row r="319" spans="2:16" ht="18.75" customHeight="1">
      <c r="B319" s="336"/>
      <c r="C319" s="40" t="s">
        <v>848</v>
      </c>
      <c r="D319" s="40"/>
      <c r="E319" s="40"/>
      <c r="F319" s="40">
        <v>1000</v>
      </c>
      <c r="G319" s="40"/>
      <c r="H319" s="45"/>
      <c r="I319" s="40">
        <v>1461</v>
      </c>
      <c r="J319" s="46">
        <f t="shared" si="69"/>
        <v>1461</v>
      </c>
      <c r="K319" s="40" t="s">
        <v>81</v>
      </c>
      <c r="L319" s="40">
        <f>VLOOKUP(F319,BM!$B$3:$Y$58,20,FALSE)</f>
        <v>0.05</v>
      </c>
      <c r="M319" s="40"/>
      <c r="N319" s="49">
        <f t="shared" si="70"/>
        <v>73.05</v>
      </c>
      <c r="O319" s="40">
        <v>1</v>
      </c>
      <c r="P319" s="57">
        <f t="shared" si="71"/>
        <v>74.05</v>
      </c>
    </row>
    <row r="320" spans="2:16" ht="18.75" customHeight="1">
      <c r="B320" s="336"/>
      <c r="C320" s="40" t="s">
        <v>1073</v>
      </c>
      <c r="D320" s="40"/>
      <c r="E320" s="40"/>
      <c r="F320" s="40">
        <v>1000</v>
      </c>
      <c r="G320" s="40"/>
      <c r="H320" s="45"/>
      <c r="I320" s="40">
        <f>1050*2</f>
        <v>2100</v>
      </c>
      <c r="J320" s="46">
        <f t="shared" si="69"/>
        <v>2100</v>
      </c>
      <c r="K320" s="40" t="s">
        <v>81</v>
      </c>
      <c r="L320" s="40">
        <f>VLOOKUP(F320,BM!$B$3:$Y$58,20,FALSE)</f>
        <v>0.05</v>
      </c>
      <c r="M320" s="40"/>
      <c r="N320" s="49">
        <f t="shared" si="70"/>
        <v>105</v>
      </c>
      <c r="O320" s="40">
        <v>1</v>
      </c>
      <c r="P320" s="57">
        <f t="shared" si="71"/>
        <v>106</v>
      </c>
    </row>
    <row r="321" spans="2:16" ht="18.75" customHeight="1">
      <c r="B321" s="336"/>
      <c r="C321" s="40" t="s">
        <v>1074</v>
      </c>
      <c r="D321" s="40"/>
      <c r="E321" s="40"/>
      <c r="F321" s="40" t="s">
        <v>581</v>
      </c>
      <c r="G321" s="40"/>
      <c r="H321" s="45"/>
      <c r="I321" s="40">
        <v>1</v>
      </c>
      <c r="J321" s="46">
        <v>1</v>
      </c>
      <c r="K321" s="40" t="s">
        <v>81</v>
      </c>
      <c r="L321" s="40">
        <v>10</v>
      </c>
      <c r="M321" s="40"/>
      <c r="N321" s="49">
        <f t="shared" si="70"/>
        <v>10</v>
      </c>
      <c r="O321" s="40">
        <v>1</v>
      </c>
      <c r="P321" s="57">
        <f t="shared" si="71"/>
        <v>11</v>
      </c>
    </row>
    <row r="322" spans="2:16" ht="18.75" customHeight="1">
      <c r="B322" s="336"/>
      <c r="C322" s="40" t="s">
        <v>677</v>
      </c>
      <c r="D322" s="40"/>
      <c r="E322" s="40"/>
      <c r="F322" s="40">
        <v>1000</v>
      </c>
      <c r="G322" s="40"/>
      <c r="H322" s="45"/>
      <c r="I322" s="40">
        <v>1</v>
      </c>
      <c r="J322" s="46">
        <f t="shared" ref="J322:J327" si="72">I322</f>
        <v>1</v>
      </c>
      <c r="K322" s="40" t="s">
        <v>81</v>
      </c>
      <c r="L322" s="40">
        <v>16</v>
      </c>
      <c r="M322" s="40"/>
      <c r="N322" s="49">
        <f t="shared" si="70"/>
        <v>16</v>
      </c>
      <c r="O322" s="40">
        <v>1</v>
      </c>
      <c r="P322" s="57">
        <f t="shared" si="71"/>
        <v>17</v>
      </c>
    </row>
    <row r="323" spans="2:16" ht="18.75" customHeight="1">
      <c r="B323" s="336"/>
      <c r="C323" s="40" t="s">
        <v>1075</v>
      </c>
      <c r="D323" s="40"/>
      <c r="E323" s="40"/>
      <c r="F323" s="40">
        <v>1000</v>
      </c>
      <c r="G323" s="40"/>
      <c r="H323" s="45"/>
      <c r="I323" s="40">
        <v>55</v>
      </c>
      <c r="J323" s="46">
        <f t="shared" si="72"/>
        <v>55</v>
      </c>
      <c r="K323" s="40" t="s">
        <v>1076</v>
      </c>
      <c r="L323" s="65">
        <f>VLOOKUP(F323,BM!$B$3:$Y$58,14,FALSE)</f>
        <v>0.16666666666666666</v>
      </c>
      <c r="M323" s="65"/>
      <c r="N323" s="49">
        <f t="shared" si="70"/>
        <v>9.1666666666666661</v>
      </c>
      <c r="O323" s="40">
        <v>1</v>
      </c>
      <c r="P323" s="57">
        <f t="shared" si="71"/>
        <v>10.166666666666666</v>
      </c>
    </row>
    <row r="324" spans="2:16" ht="18.75" customHeight="1">
      <c r="B324" s="336"/>
      <c r="C324" s="40" t="s">
        <v>1077</v>
      </c>
      <c r="D324" s="40"/>
      <c r="E324" s="40"/>
      <c r="F324" s="40">
        <v>1000</v>
      </c>
      <c r="G324" s="40"/>
      <c r="H324" s="45"/>
      <c r="I324" s="40">
        <v>55</v>
      </c>
      <c r="J324" s="46">
        <f t="shared" si="72"/>
        <v>55</v>
      </c>
      <c r="K324" s="40" t="s">
        <v>1076</v>
      </c>
      <c r="L324" s="40">
        <f>VLOOKUP(F324,BM!$B$3:$Y$58,13,FALSE)</f>
        <v>0.5</v>
      </c>
      <c r="M324" s="40"/>
      <c r="N324" s="49">
        <f t="shared" si="70"/>
        <v>27.5</v>
      </c>
      <c r="O324" s="40">
        <v>1</v>
      </c>
      <c r="P324" s="57">
        <f t="shared" si="71"/>
        <v>28.5</v>
      </c>
    </row>
    <row r="325" spans="2:16" ht="18.75" customHeight="1">
      <c r="B325" s="336"/>
      <c r="C325" s="40" t="s">
        <v>719</v>
      </c>
      <c r="D325" s="40"/>
      <c r="E325" s="40"/>
      <c r="F325" s="40">
        <v>1000</v>
      </c>
      <c r="G325" s="40"/>
      <c r="H325" s="45"/>
      <c r="I325" s="40">
        <v>1</v>
      </c>
      <c r="J325" s="46">
        <f t="shared" si="72"/>
        <v>1</v>
      </c>
      <c r="K325" s="40" t="s">
        <v>81</v>
      </c>
      <c r="L325" s="40">
        <v>16</v>
      </c>
      <c r="M325" s="40"/>
      <c r="N325" s="49">
        <f t="shared" si="70"/>
        <v>16</v>
      </c>
      <c r="O325" s="40">
        <v>1</v>
      </c>
      <c r="P325" s="57">
        <f t="shared" si="71"/>
        <v>17</v>
      </c>
    </row>
    <row r="326" spans="2:16" ht="18.75" customHeight="1">
      <c r="B326" s="336"/>
      <c r="C326" s="40" t="s">
        <v>1078</v>
      </c>
      <c r="D326" s="40"/>
      <c r="E326" s="40"/>
      <c r="F326" s="40">
        <v>1000</v>
      </c>
      <c r="G326" s="40"/>
      <c r="H326" s="45"/>
      <c r="I326" s="40">
        <v>55</v>
      </c>
      <c r="J326" s="46">
        <f t="shared" si="72"/>
        <v>55</v>
      </c>
      <c r="K326" s="40" t="s">
        <v>81</v>
      </c>
      <c r="L326" s="40">
        <f>VLOOKUP(F326,BM!$B$3:$Y$58,13,FALSE)</f>
        <v>0.5</v>
      </c>
      <c r="M326" s="40"/>
      <c r="N326" s="49">
        <f t="shared" si="70"/>
        <v>27.5</v>
      </c>
      <c r="O326" s="40">
        <v>1</v>
      </c>
      <c r="P326" s="57">
        <f t="shared" si="71"/>
        <v>28.5</v>
      </c>
    </row>
    <row r="327" spans="2:16" ht="18.75" customHeight="1">
      <c r="B327" s="340"/>
      <c r="C327" s="40" t="s">
        <v>677</v>
      </c>
      <c r="D327" s="40"/>
      <c r="E327" s="40"/>
      <c r="F327" s="40">
        <v>1000</v>
      </c>
      <c r="G327" s="40"/>
      <c r="H327" s="45"/>
      <c r="I327" s="40">
        <v>1</v>
      </c>
      <c r="J327" s="46">
        <f t="shared" si="72"/>
        <v>1</v>
      </c>
      <c r="K327" s="40" t="s">
        <v>81</v>
      </c>
      <c r="L327" s="40">
        <v>16</v>
      </c>
      <c r="M327" s="40"/>
      <c r="N327" s="49">
        <f t="shared" si="70"/>
        <v>16</v>
      </c>
      <c r="O327" s="40">
        <v>1</v>
      </c>
      <c r="P327" s="57">
        <f t="shared" si="71"/>
        <v>17</v>
      </c>
    </row>
    <row r="328" spans="2:16" ht="18.75" customHeight="1">
      <c r="J328" s="47"/>
      <c r="K328" s="47"/>
      <c r="L328" s="48"/>
      <c r="M328" s="48"/>
      <c r="N328" s="48"/>
      <c r="O328" s="48"/>
      <c r="P328" s="48"/>
    </row>
    <row r="329" spans="2:16" ht="18.75" customHeight="1">
      <c r="C329" s="40" t="s">
        <v>1079</v>
      </c>
      <c r="D329" s="40"/>
      <c r="E329" s="40"/>
      <c r="F329" s="40" t="s">
        <v>695</v>
      </c>
      <c r="G329" s="40"/>
      <c r="H329" s="45"/>
      <c r="I329" s="40"/>
      <c r="J329" s="46">
        <v>1</v>
      </c>
      <c r="K329" s="40" t="s">
        <v>39</v>
      </c>
      <c r="L329" s="40" t="e">
        <f>VLOOKUP(F329,BM!$B$3:$Y$58,2,FALSE)</f>
        <v>#N/A</v>
      </c>
      <c r="M329" s="40"/>
      <c r="N329" s="49" t="e">
        <f t="shared" ref="N329:N363" si="73">J329*L329</f>
        <v>#N/A</v>
      </c>
      <c r="O329" s="40">
        <v>1</v>
      </c>
      <c r="P329" s="57" t="e">
        <f>N329+O329</f>
        <v>#N/A</v>
      </c>
    </row>
    <row r="330" spans="2:16" ht="18.75" customHeight="1">
      <c r="C330" s="40" t="s">
        <v>1079</v>
      </c>
      <c r="D330" s="40"/>
      <c r="E330" s="40"/>
      <c r="F330" s="40" t="s">
        <v>695</v>
      </c>
      <c r="G330" s="40"/>
      <c r="H330" s="45"/>
      <c r="I330" s="40"/>
      <c r="J330" s="46">
        <v>1</v>
      </c>
      <c r="K330" s="40" t="s">
        <v>39</v>
      </c>
      <c r="L330" s="40" t="e">
        <f>VLOOKUP(F330,BM!$B$3:$Y$58,2,FALSE)</f>
        <v>#N/A</v>
      </c>
      <c r="M330" s="40"/>
      <c r="N330" s="49" t="e">
        <f t="shared" si="73"/>
        <v>#N/A</v>
      </c>
      <c r="O330" s="40">
        <v>1</v>
      </c>
      <c r="P330" s="57" t="e">
        <f>N330+O330</f>
        <v>#N/A</v>
      </c>
    </row>
    <row r="331" spans="2:16" ht="18.75" customHeight="1">
      <c r="J331" s="47"/>
      <c r="K331" s="47"/>
      <c r="L331" s="48"/>
      <c r="M331" s="48"/>
      <c r="N331" s="48"/>
      <c r="O331" s="48"/>
      <c r="P331" s="48"/>
    </row>
    <row r="332" spans="2:16" ht="18.75" customHeight="1">
      <c r="C332" s="40" t="s">
        <v>1080</v>
      </c>
      <c r="D332" s="40"/>
      <c r="E332" s="40"/>
      <c r="F332" s="40" t="s">
        <v>695</v>
      </c>
      <c r="G332" s="40"/>
      <c r="H332" s="45"/>
      <c r="I332" s="40"/>
      <c r="J332" s="46">
        <v>1</v>
      </c>
      <c r="K332" s="40" t="s">
        <v>39</v>
      </c>
      <c r="L332" s="40" t="e">
        <f>VLOOKUP(F332,BM!$B$3:$Y$58,3,FALSE)</f>
        <v>#N/A</v>
      </c>
      <c r="M332" s="40"/>
      <c r="N332" s="49" t="e">
        <f t="shared" si="73"/>
        <v>#N/A</v>
      </c>
      <c r="O332" s="40">
        <v>1</v>
      </c>
      <c r="P332" s="57" t="e">
        <f>N332+O332</f>
        <v>#N/A</v>
      </c>
    </row>
    <row r="333" spans="2:16" ht="18.75" customHeight="1">
      <c r="C333" s="40" t="s">
        <v>1080</v>
      </c>
      <c r="D333" s="40"/>
      <c r="E333" s="40"/>
      <c r="F333" s="40" t="s">
        <v>695</v>
      </c>
      <c r="G333" s="40"/>
      <c r="H333" s="45"/>
      <c r="I333" s="40"/>
      <c r="J333" s="46">
        <v>1</v>
      </c>
      <c r="K333" s="40" t="s">
        <v>39</v>
      </c>
      <c r="L333" s="40" t="e">
        <f>VLOOKUP(F333,BM!$B$3:$Y$58,3,FALSE)</f>
        <v>#N/A</v>
      </c>
      <c r="M333" s="40"/>
      <c r="N333" s="49" t="e">
        <f t="shared" si="73"/>
        <v>#N/A</v>
      </c>
      <c r="O333" s="40">
        <v>1</v>
      </c>
      <c r="P333" s="57" t="e">
        <f>N333+O333</f>
        <v>#N/A</v>
      </c>
    </row>
    <row r="334" spans="2:16" ht="18.75" customHeight="1">
      <c r="E334" s="35"/>
      <c r="F334" s="35"/>
      <c r="G334" s="35"/>
      <c r="H334" s="47"/>
      <c r="I334" s="35"/>
      <c r="J334" s="48"/>
      <c r="K334" s="35"/>
      <c r="P334" s="61"/>
    </row>
    <row r="335" spans="2:16" ht="18.75" customHeight="1">
      <c r="C335" s="40" t="s">
        <v>1081</v>
      </c>
      <c r="D335" s="40"/>
      <c r="E335" s="40"/>
      <c r="F335" s="40" t="s">
        <v>695</v>
      </c>
      <c r="G335" s="40"/>
      <c r="H335" s="45"/>
      <c r="I335" s="40"/>
      <c r="J335" s="46">
        <v>1</v>
      </c>
      <c r="K335" s="40" t="s">
        <v>39</v>
      </c>
      <c r="L335" s="40" t="e">
        <f>VLOOKUP(F335,BM!$B$3:$Y$58,4,FALSE)</f>
        <v>#N/A</v>
      </c>
      <c r="M335" s="40"/>
      <c r="N335" s="49" t="e">
        <f t="shared" si="73"/>
        <v>#N/A</v>
      </c>
      <c r="O335" s="40">
        <v>1</v>
      </c>
      <c r="P335" s="57" t="e">
        <f>N335+O335</f>
        <v>#N/A</v>
      </c>
    </row>
    <row r="336" spans="2:16" ht="18.75" customHeight="1">
      <c r="C336" s="40" t="s">
        <v>1081</v>
      </c>
      <c r="D336" s="40"/>
      <c r="E336" s="40"/>
      <c r="F336" s="40" t="s">
        <v>695</v>
      </c>
      <c r="G336" s="40"/>
      <c r="H336" s="45"/>
      <c r="I336" s="40"/>
      <c r="J336" s="46">
        <v>1</v>
      </c>
      <c r="K336" s="40" t="s">
        <v>39</v>
      </c>
      <c r="L336" s="40" t="e">
        <f>VLOOKUP(F336,BM!$B$3:$Y$58,4,FALSE)</f>
        <v>#N/A</v>
      </c>
      <c r="M336" s="40"/>
      <c r="N336" s="49" t="e">
        <f t="shared" si="73"/>
        <v>#N/A</v>
      </c>
      <c r="O336" s="40">
        <v>1</v>
      </c>
      <c r="P336" s="57" t="e">
        <f>N336+O336</f>
        <v>#N/A</v>
      </c>
    </row>
    <row r="337" spans="3:16" ht="18.75" customHeight="1">
      <c r="J337" s="47"/>
      <c r="K337" s="47"/>
      <c r="L337" s="48"/>
      <c r="M337" s="48"/>
      <c r="N337" s="48"/>
      <c r="O337" s="48"/>
      <c r="P337" s="48"/>
    </row>
    <row r="338" spans="3:16" ht="18.75" customHeight="1">
      <c r="C338" s="40" t="s">
        <v>1082</v>
      </c>
      <c r="D338" s="40"/>
      <c r="E338" s="40"/>
      <c r="F338" s="40" t="s">
        <v>695</v>
      </c>
      <c r="G338" s="40"/>
      <c r="H338" s="45"/>
      <c r="I338" s="40"/>
      <c r="J338" s="46">
        <v>1</v>
      </c>
      <c r="K338" s="40"/>
      <c r="L338" s="40" t="e">
        <f>VLOOKUP(F338,BM!$B$3:$Y$58,5,FALSE)</f>
        <v>#N/A</v>
      </c>
      <c r="M338" s="40"/>
      <c r="N338" s="49" t="e">
        <f t="shared" si="73"/>
        <v>#N/A</v>
      </c>
      <c r="O338" s="40">
        <v>1</v>
      </c>
      <c r="P338" s="57" t="e">
        <f>N338+O338</f>
        <v>#N/A</v>
      </c>
    </row>
    <row r="339" spans="3:16" ht="18.75" customHeight="1">
      <c r="C339" s="40" t="s">
        <v>1082</v>
      </c>
      <c r="D339" s="40"/>
      <c r="E339" s="40"/>
      <c r="F339" s="40" t="s">
        <v>695</v>
      </c>
      <c r="G339" s="40"/>
      <c r="H339" s="45"/>
      <c r="I339" s="40"/>
      <c r="J339" s="46">
        <v>1</v>
      </c>
      <c r="K339" s="40"/>
      <c r="L339" s="40" t="e">
        <f>VLOOKUP(F339,BM!$B$3:$Y$58,5,FALSE)</f>
        <v>#N/A</v>
      </c>
      <c r="M339" s="40"/>
      <c r="N339" s="49" t="e">
        <f t="shared" si="73"/>
        <v>#N/A</v>
      </c>
      <c r="O339" s="40">
        <v>1</v>
      </c>
      <c r="P339" s="57" t="e">
        <f>N339+O339</f>
        <v>#N/A</v>
      </c>
    </row>
    <row r="340" spans="3:16" ht="18.75" customHeight="1">
      <c r="J340" s="47"/>
      <c r="K340" s="47"/>
      <c r="L340" s="48"/>
      <c r="M340" s="48"/>
      <c r="N340" s="48"/>
      <c r="O340" s="48"/>
      <c r="P340" s="48"/>
    </row>
    <row r="341" spans="3:16" ht="18.75" customHeight="1">
      <c r="C341" s="37" t="s">
        <v>850</v>
      </c>
      <c r="D341" s="38" t="s">
        <v>851</v>
      </c>
      <c r="E341" s="38"/>
      <c r="F341" s="39" t="s">
        <v>2</v>
      </c>
      <c r="G341" s="39" t="s">
        <v>1083</v>
      </c>
      <c r="H341" s="39" t="s">
        <v>1084</v>
      </c>
      <c r="I341" s="39" t="s">
        <v>4</v>
      </c>
      <c r="J341" s="39" t="s">
        <v>854</v>
      </c>
      <c r="K341" s="39" t="s">
        <v>5</v>
      </c>
      <c r="L341" s="39" t="s">
        <v>855</v>
      </c>
      <c r="M341" s="39" t="s">
        <v>5</v>
      </c>
      <c r="N341" s="39" t="s">
        <v>854</v>
      </c>
      <c r="O341" s="39" t="s">
        <v>856</v>
      </c>
      <c r="P341" s="39" t="s">
        <v>857</v>
      </c>
    </row>
    <row r="342" spans="3:16" ht="18.75" customHeight="1">
      <c r="C342" s="40" t="s">
        <v>1085</v>
      </c>
      <c r="D342" s="40"/>
      <c r="E342" s="40"/>
      <c r="F342" s="63">
        <v>16</v>
      </c>
      <c r="G342" s="63" t="s">
        <v>695</v>
      </c>
      <c r="H342" s="64">
        <f>16*25.4</f>
        <v>406.4</v>
      </c>
      <c r="I342" s="63">
        <v>1</v>
      </c>
      <c r="J342" s="46">
        <f>H342*3.142*0.001*I342</f>
        <v>1.2769088</v>
      </c>
      <c r="K342" s="40"/>
      <c r="L342" s="40">
        <f>VLOOKUP(F342,BM!$B$3:$Y$58,17,FALSE)</f>
        <v>4.0199999999999996</v>
      </c>
      <c r="M342" s="40"/>
      <c r="N342" s="49">
        <f t="shared" si="73"/>
        <v>5.1331733759999993</v>
      </c>
      <c r="O342" s="40">
        <v>1</v>
      </c>
      <c r="P342" s="57">
        <f>N342+O342</f>
        <v>6.1331733759999993</v>
      </c>
    </row>
    <row r="343" spans="3:16" ht="18.75" customHeight="1">
      <c r="C343" s="40" t="s">
        <v>1085</v>
      </c>
      <c r="D343" s="40"/>
      <c r="E343" s="40"/>
      <c r="F343" s="63">
        <v>16</v>
      </c>
      <c r="G343" s="63" t="s">
        <v>695</v>
      </c>
      <c r="H343" s="64">
        <v>406.4</v>
      </c>
      <c r="I343" s="63">
        <v>1</v>
      </c>
      <c r="J343" s="46">
        <f>H343*3.142*0.001*I343</f>
        <v>1.2769088</v>
      </c>
      <c r="K343" s="40"/>
      <c r="L343" s="40">
        <f>VLOOKUP(F343,BM!$B$3:$Y$58,17,FALSE)</f>
        <v>4.0199999999999996</v>
      </c>
      <c r="M343" s="40"/>
      <c r="N343" s="49">
        <f t="shared" ref="N343" si="74">J343*L343</f>
        <v>5.1331733759999993</v>
      </c>
      <c r="O343" s="40">
        <v>1</v>
      </c>
      <c r="P343" s="57">
        <f>N343+O343</f>
        <v>6.1331733759999993</v>
      </c>
    </row>
    <row r="344" spans="3:16" ht="18.75" customHeight="1">
      <c r="J344" s="47"/>
      <c r="K344" s="47"/>
      <c r="L344" s="48"/>
      <c r="M344" s="48"/>
      <c r="N344" s="48"/>
      <c r="O344" s="48"/>
      <c r="P344" s="48"/>
    </row>
    <row r="345" spans="3:16" ht="18.75" customHeight="1">
      <c r="C345" s="37" t="s">
        <v>850</v>
      </c>
      <c r="D345" s="38" t="s">
        <v>851</v>
      </c>
      <c r="E345" s="38"/>
      <c r="F345" s="39" t="s">
        <v>2</v>
      </c>
      <c r="G345" s="39" t="s">
        <v>1083</v>
      </c>
      <c r="H345" s="39" t="s">
        <v>1084</v>
      </c>
      <c r="I345" s="39" t="s">
        <v>4</v>
      </c>
      <c r="J345" s="39" t="s">
        <v>854</v>
      </c>
      <c r="K345" s="39" t="s">
        <v>5</v>
      </c>
      <c r="L345" s="39" t="s">
        <v>855</v>
      </c>
      <c r="M345" s="39" t="s">
        <v>5</v>
      </c>
      <c r="N345" s="39" t="s">
        <v>854</v>
      </c>
      <c r="O345" s="39" t="s">
        <v>856</v>
      </c>
      <c r="P345" s="39" t="s">
        <v>857</v>
      </c>
    </row>
    <row r="346" spans="3:16" ht="18.75" customHeight="1">
      <c r="C346" s="40" t="s">
        <v>1086</v>
      </c>
      <c r="D346" s="40"/>
      <c r="E346" s="40"/>
      <c r="F346" s="63">
        <v>16</v>
      </c>
      <c r="G346" s="63" t="s">
        <v>695</v>
      </c>
      <c r="H346" s="64">
        <f>16*25.4</f>
        <v>406.4</v>
      </c>
      <c r="I346" s="63">
        <v>1</v>
      </c>
      <c r="J346" s="46">
        <f>H346*3.142*0.001*I346</f>
        <v>1.2769088</v>
      </c>
      <c r="K346" s="40"/>
      <c r="L346" s="40">
        <f>VLOOKUP(F346,BM!$B$3:$Y$58,20,FALSE)</f>
        <v>0.5</v>
      </c>
      <c r="M346" s="40"/>
      <c r="N346" s="49">
        <f t="shared" ref="N346:N347" si="75">J346*L346</f>
        <v>0.63845439999999998</v>
      </c>
      <c r="O346" s="40">
        <v>1</v>
      </c>
      <c r="P346" s="57">
        <f>N346+O346</f>
        <v>1.6384544000000001</v>
      </c>
    </row>
    <row r="347" spans="3:16" ht="18.75" customHeight="1">
      <c r="C347" s="40" t="s">
        <v>1086</v>
      </c>
      <c r="D347" s="40"/>
      <c r="E347" s="40"/>
      <c r="F347" s="63">
        <v>16</v>
      </c>
      <c r="G347" s="63" t="s">
        <v>695</v>
      </c>
      <c r="H347" s="64">
        <v>406.4</v>
      </c>
      <c r="I347" s="63">
        <v>1</v>
      </c>
      <c r="J347" s="46">
        <f>H347*3.142*0.001*I347</f>
        <v>1.2769088</v>
      </c>
      <c r="K347" s="40"/>
      <c r="L347" s="40">
        <f>VLOOKUP(F347,BM!$B$3:$Y$58,20,FALSE)</f>
        <v>0.5</v>
      </c>
      <c r="M347" s="40"/>
      <c r="N347" s="49">
        <f t="shared" si="75"/>
        <v>0.63845439999999998</v>
      </c>
      <c r="O347" s="40">
        <v>1</v>
      </c>
      <c r="P347" s="57">
        <f>N347+O347</f>
        <v>1.6384544000000001</v>
      </c>
    </row>
    <row r="348" spans="3:16" ht="18.75" customHeight="1">
      <c r="J348" s="47"/>
      <c r="K348" s="47"/>
      <c r="L348" s="48"/>
      <c r="M348" s="48"/>
      <c r="N348" s="48"/>
      <c r="O348" s="48"/>
      <c r="P348" s="48"/>
    </row>
    <row r="349" spans="3:16" ht="18.75" customHeight="1">
      <c r="C349" s="37" t="s">
        <v>850</v>
      </c>
      <c r="D349" s="38" t="s">
        <v>851</v>
      </c>
      <c r="E349" s="38"/>
      <c r="F349" s="39" t="s">
        <v>2</v>
      </c>
      <c r="G349" s="39" t="s">
        <v>1083</v>
      </c>
      <c r="H349" s="39" t="s">
        <v>1084</v>
      </c>
      <c r="I349" s="39" t="s">
        <v>4</v>
      </c>
      <c r="J349" s="39" t="s">
        <v>854</v>
      </c>
      <c r="K349" s="39" t="s">
        <v>5</v>
      </c>
      <c r="L349" s="39" t="s">
        <v>855</v>
      </c>
      <c r="M349" s="39" t="s">
        <v>5</v>
      </c>
      <c r="N349" s="39" t="s">
        <v>854</v>
      </c>
      <c r="O349" s="39" t="s">
        <v>856</v>
      </c>
      <c r="P349" s="39" t="s">
        <v>857</v>
      </c>
    </row>
    <row r="350" spans="3:16" ht="18.75" customHeight="1">
      <c r="C350" s="40" t="s">
        <v>1087</v>
      </c>
      <c r="D350" s="40"/>
      <c r="E350" s="40"/>
      <c r="F350" s="63" t="s">
        <v>695</v>
      </c>
      <c r="G350" s="40"/>
      <c r="H350" s="45"/>
      <c r="I350" s="63">
        <v>1</v>
      </c>
      <c r="J350" s="66">
        <v>1</v>
      </c>
      <c r="K350" s="40"/>
      <c r="L350" s="40" t="e">
        <f>VLOOKUP(F350,BM!$B$3:$Y$58,8,FALSE)</f>
        <v>#N/A</v>
      </c>
      <c r="M350" s="40"/>
      <c r="N350" s="49" t="e">
        <f t="shared" ref="N350" si="76">J350*L350</f>
        <v>#N/A</v>
      </c>
      <c r="O350" s="40">
        <v>1</v>
      </c>
      <c r="P350" s="57" t="e">
        <f>N350+O350</f>
        <v>#N/A</v>
      </c>
    </row>
    <row r="351" spans="3:16" ht="18.75" customHeight="1">
      <c r="C351" s="40" t="s">
        <v>1087</v>
      </c>
      <c r="D351" s="40"/>
      <c r="E351" s="40"/>
      <c r="F351" s="63" t="s">
        <v>695</v>
      </c>
      <c r="G351" s="40"/>
      <c r="H351" s="45"/>
      <c r="I351" s="63">
        <v>1</v>
      </c>
      <c r="J351" s="66">
        <v>1</v>
      </c>
      <c r="K351" s="40"/>
      <c r="L351" s="40" t="e">
        <f>VLOOKUP(F351,BM!$B$3:$Y$58,8,FALSE)</f>
        <v>#N/A</v>
      </c>
      <c r="M351" s="40"/>
      <c r="N351" s="49" t="e">
        <f t="shared" si="73"/>
        <v>#N/A</v>
      </c>
      <c r="O351" s="40">
        <v>1</v>
      </c>
      <c r="P351" s="57" t="e">
        <f>N351+O351</f>
        <v>#N/A</v>
      </c>
    </row>
    <row r="352" spans="3:16" ht="18.75" customHeight="1">
      <c r="J352" s="47"/>
      <c r="K352" s="47"/>
      <c r="L352" s="48"/>
      <c r="M352" s="48"/>
      <c r="N352" s="48"/>
      <c r="O352" s="48"/>
      <c r="P352" s="48"/>
    </row>
    <row r="353" spans="3:16" ht="18.75" customHeight="1">
      <c r="C353" s="37" t="s">
        <v>850</v>
      </c>
      <c r="D353" s="38" t="s">
        <v>851</v>
      </c>
      <c r="E353" s="38"/>
      <c r="F353" s="39" t="s">
        <v>2</v>
      </c>
      <c r="G353" s="39" t="s">
        <v>1083</v>
      </c>
      <c r="H353" s="39" t="s">
        <v>1084</v>
      </c>
      <c r="I353" s="39" t="s">
        <v>4</v>
      </c>
      <c r="J353" s="39" t="s">
        <v>854</v>
      </c>
      <c r="K353" s="39" t="s">
        <v>5</v>
      </c>
      <c r="L353" s="39" t="s">
        <v>855</v>
      </c>
      <c r="M353" s="39" t="s">
        <v>5</v>
      </c>
      <c r="N353" s="39" t="s">
        <v>854</v>
      </c>
      <c r="O353" s="39" t="s">
        <v>856</v>
      </c>
      <c r="P353" s="39" t="s">
        <v>857</v>
      </c>
    </row>
    <row r="354" spans="3:16" ht="18.75" customHeight="1">
      <c r="C354" s="40" t="s">
        <v>1088</v>
      </c>
      <c r="D354" s="40"/>
      <c r="E354" s="40"/>
      <c r="F354" s="63" t="s">
        <v>695</v>
      </c>
      <c r="G354" s="40"/>
      <c r="H354" s="45"/>
      <c r="I354" s="63">
        <v>1</v>
      </c>
      <c r="J354" s="66">
        <v>1</v>
      </c>
      <c r="K354" s="40"/>
      <c r="L354" s="40" t="e">
        <f>VLOOKUP(F354,BM!$B$3:$Y$58,8,FALSE)</f>
        <v>#N/A</v>
      </c>
      <c r="M354" s="40"/>
      <c r="N354" s="49" t="e">
        <f t="shared" ref="N354:N355" si="77">J354*L354</f>
        <v>#N/A</v>
      </c>
      <c r="O354" s="40">
        <v>1</v>
      </c>
      <c r="P354" s="57" t="e">
        <f>N354+O354</f>
        <v>#N/A</v>
      </c>
    </row>
    <row r="355" spans="3:16" ht="18.75" customHeight="1">
      <c r="C355" s="40" t="s">
        <v>1088</v>
      </c>
      <c r="D355" s="40"/>
      <c r="E355" s="40"/>
      <c r="F355" s="63" t="s">
        <v>695</v>
      </c>
      <c r="G355" s="40"/>
      <c r="H355" s="45"/>
      <c r="I355" s="63">
        <v>1</v>
      </c>
      <c r="J355" s="66">
        <v>1</v>
      </c>
      <c r="K355" s="40"/>
      <c r="L355" s="40" t="e">
        <f>VLOOKUP(F355,BM!$B$3:$Y$58,8,FALSE)</f>
        <v>#N/A</v>
      </c>
      <c r="M355" s="40"/>
      <c r="N355" s="49" t="e">
        <f t="shared" si="77"/>
        <v>#N/A</v>
      </c>
      <c r="O355" s="40">
        <v>1</v>
      </c>
      <c r="P355" s="57" t="e">
        <f>N355+O355</f>
        <v>#N/A</v>
      </c>
    </row>
    <row r="356" spans="3:16" ht="18.75" customHeight="1">
      <c r="J356" s="47"/>
      <c r="K356" s="47"/>
      <c r="L356" s="48"/>
      <c r="M356" s="48"/>
      <c r="N356" s="48"/>
      <c r="O356" s="48"/>
      <c r="P356" s="48"/>
    </row>
    <row r="357" spans="3:16" ht="18.75" customHeight="1">
      <c r="C357" s="37" t="s">
        <v>850</v>
      </c>
      <c r="D357" s="38" t="s">
        <v>851</v>
      </c>
      <c r="E357" s="38"/>
      <c r="F357" s="39" t="s">
        <v>2</v>
      </c>
      <c r="G357" s="39" t="s">
        <v>1083</v>
      </c>
      <c r="H357" s="39" t="s">
        <v>1084</v>
      </c>
      <c r="I357" s="39" t="s">
        <v>4</v>
      </c>
      <c r="J357" s="39" t="s">
        <v>854</v>
      </c>
      <c r="K357" s="39" t="s">
        <v>5</v>
      </c>
      <c r="L357" s="39" t="s">
        <v>855</v>
      </c>
      <c r="M357" s="39" t="s">
        <v>5</v>
      </c>
      <c r="N357" s="39" t="s">
        <v>854</v>
      </c>
      <c r="O357" s="39" t="s">
        <v>856</v>
      </c>
      <c r="P357" s="39" t="s">
        <v>857</v>
      </c>
    </row>
    <row r="358" spans="3:16" ht="18.75" customHeight="1">
      <c r="C358" s="40" t="s">
        <v>1089</v>
      </c>
      <c r="D358" s="40"/>
      <c r="E358" s="40"/>
      <c r="F358" s="63" t="s">
        <v>695</v>
      </c>
      <c r="G358" s="40"/>
      <c r="H358" s="45"/>
      <c r="I358" s="63">
        <v>1</v>
      </c>
      <c r="J358" s="66">
        <v>1</v>
      </c>
      <c r="K358" s="40"/>
      <c r="L358" s="40" t="e">
        <f>VLOOKUP(F358,BM!$B$3:$Y$58,8,FALSE)</f>
        <v>#N/A</v>
      </c>
      <c r="M358" s="40"/>
      <c r="N358" s="49" t="e">
        <f t="shared" ref="N358:N359" si="78">J358*L358</f>
        <v>#N/A</v>
      </c>
      <c r="O358" s="40">
        <v>1</v>
      </c>
      <c r="P358" s="57" t="e">
        <f>N358+O358</f>
        <v>#N/A</v>
      </c>
    </row>
    <row r="359" spans="3:16" ht="18.75" customHeight="1">
      <c r="C359" s="40" t="s">
        <v>1089</v>
      </c>
      <c r="D359" s="40"/>
      <c r="E359" s="40"/>
      <c r="F359" s="63" t="s">
        <v>695</v>
      </c>
      <c r="G359" s="40"/>
      <c r="H359" s="45"/>
      <c r="I359" s="63">
        <v>1</v>
      </c>
      <c r="J359" s="66">
        <v>1</v>
      </c>
      <c r="K359" s="40"/>
      <c r="L359" s="40" t="e">
        <f>VLOOKUP(F359,BM!$B$3:$Y$58,8,FALSE)</f>
        <v>#N/A</v>
      </c>
      <c r="M359" s="40"/>
      <c r="N359" s="49" t="e">
        <f t="shared" si="78"/>
        <v>#N/A</v>
      </c>
      <c r="O359" s="40">
        <v>1</v>
      </c>
      <c r="P359" s="57" t="e">
        <f>N359+O359</f>
        <v>#N/A</v>
      </c>
    </row>
    <row r="360" spans="3:16" ht="18.75" customHeight="1">
      <c r="J360" s="47"/>
      <c r="K360" s="47"/>
      <c r="L360" s="48"/>
      <c r="M360" s="48"/>
      <c r="N360" s="48"/>
      <c r="O360" s="48"/>
      <c r="P360" s="48"/>
    </row>
    <row r="361" spans="3:16" ht="18.75" customHeight="1">
      <c r="C361" s="37" t="s">
        <v>850</v>
      </c>
      <c r="D361" s="38" t="s">
        <v>851</v>
      </c>
      <c r="E361" s="38"/>
      <c r="F361" s="39" t="s">
        <v>1090</v>
      </c>
      <c r="G361" s="39" t="s">
        <v>1083</v>
      </c>
      <c r="H361" s="39" t="s">
        <v>1084</v>
      </c>
      <c r="I361" s="39" t="s">
        <v>4</v>
      </c>
      <c r="J361" s="39" t="s">
        <v>854</v>
      </c>
      <c r="K361" s="39" t="s">
        <v>5</v>
      </c>
      <c r="L361" s="39" t="s">
        <v>855</v>
      </c>
      <c r="M361" s="39" t="s">
        <v>5</v>
      </c>
      <c r="N361" s="39" t="s">
        <v>854</v>
      </c>
      <c r="O361" s="39" t="s">
        <v>856</v>
      </c>
      <c r="P361" s="39" t="s">
        <v>857</v>
      </c>
    </row>
    <row r="362" spans="3:16" ht="18.75" customHeight="1">
      <c r="C362" s="40" t="s">
        <v>828</v>
      </c>
      <c r="D362" s="40"/>
      <c r="E362" s="40"/>
      <c r="F362" s="40" t="s">
        <v>695</v>
      </c>
      <c r="G362" s="40"/>
      <c r="H362" s="45"/>
      <c r="I362" s="63">
        <v>1</v>
      </c>
      <c r="J362" s="66">
        <v>1</v>
      </c>
      <c r="K362" s="40" t="s">
        <v>564</v>
      </c>
      <c r="L362" s="40" t="e">
        <f>VLOOKUP(F362,BM!$B$3:$Y$58,18,FALSE)</f>
        <v>#N/A</v>
      </c>
      <c r="M362" s="40"/>
      <c r="N362" s="49" t="e">
        <f t="shared" si="73"/>
        <v>#N/A</v>
      </c>
      <c r="O362" s="40">
        <v>1</v>
      </c>
      <c r="P362" s="57" t="e">
        <f>N362+O362</f>
        <v>#N/A</v>
      </c>
    </row>
    <row r="363" spans="3:16" ht="18.75" customHeight="1">
      <c r="C363" s="40" t="s">
        <v>828</v>
      </c>
      <c r="D363" s="40"/>
      <c r="E363" s="40"/>
      <c r="F363" s="40" t="s">
        <v>695</v>
      </c>
      <c r="G363" s="40"/>
      <c r="H363" s="45"/>
      <c r="I363" s="63">
        <v>1</v>
      </c>
      <c r="J363" s="66">
        <v>1</v>
      </c>
      <c r="K363" s="40" t="s">
        <v>564</v>
      </c>
      <c r="L363" s="40" t="e">
        <f>VLOOKUP(F363,BM!$B$3:$Y$58,18,FALSE)</f>
        <v>#N/A</v>
      </c>
      <c r="M363" s="40"/>
      <c r="N363" s="49" t="e">
        <f t="shared" si="73"/>
        <v>#N/A</v>
      </c>
      <c r="O363" s="40">
        <v>1</v>
      </c>
      <c r="P363" s="57" t="e">
        <f>N363+O363</f>
        <v>#N/A</v>
      </c>
    </row>
    <row r="364" spans="3:16" ht="18.75" customHeight="1">
      <c r="J364" s="47"/>
      <c r="K364" s="47"/>
      <c r="L364" s="48"/>
      <c r="M364" s="48"/>
      <c r="N364" s="48"/>
      <c r="O364" s="48"/>
      <c r="P364" s="48"/>
    </row>
    <row r="365" spans="3:16" ht="18.75" customHeight="1">
      <c r="C365" s="37" t="s">
        <v>850</v>
      </c>
      <c r="D365" s="38" t="s">
        <v>851</v>
      </c>
      <c r="E365" s="38"/>
      <c r="F365" s="39" t="s">
        <v>2</v>
      </c>
      <c r="G365" s="39" t="s">
        <v>1083</v>
      </c>
      <c r="H365" s="39" t="s">
        <v>1084</v>
      </c>
      <c r="I365" s="39" t="s">
        <v>4</v>
      </c>
      <c r="J365" s="39" t="s">
        <v>854</v>
      </c>
      <c r="K365" s="39" t="s">
        <v>5</v>
      </c>
      <c r="L365" s="39" t="s">
        <v>855</v>
      </c>
      <c r="M365" s="39" t="s">
        <v>5</v>
      </c>
      <c r="N365" s="39" t="s">
        <v>854</v>
      </c>
      <c r="O365" s="39" t="s">
        <v>856</v>
      </c>
      <c r="P365" s="39" t="s">
        <v>857</v>
      </c>
    </row>
    <row r="366" spans="3:16" ht="18.75" customHeight="1">
      <c r="C366" s="40" t="s">
        <v>822</v>
      </c>
      <c r="D366" s="40"/>
      <c r="E366" s="40"/>
      <c r="F366" s="40" t="s">
        <v>695</v>
      </c>
      <c r="G366" s="40"/>
      <c r="H366" s="45"/>
      <c r="I366" s="63">
        <v>1</v>
      </c>
      <c r="J366" s="66">
        <v>1</v>
      </c>
      <c r="K366" s="40" t="s">
        <v>564</v>
      </c>
      <c r="L366" s="40" t="e">
        <f>VLOOKUP(F366,BM!$B$3:$Y$58,12,FALSE)</f>
        <v>#N/A</v>
      </c>
      <c r="M366" s="40"/>
      <c r="N366" s="49" t="e">
        <f t="shared" ref="N366:N367" si="79">J366*L366</f>
        <v>#N/A</v>
      </c>
      <c r="O366" s="40">
        <v>1</v>
      </c>
      <c r="P366" s="57" t="e">
        <f>N366+O366</f>
        <v>#N/A</v>
      </c>
    </row>
    <row r="367" spans="3:16" ht="18.75" customHeight="1">
      <c r="C367" s="40" t="s">
        <v>822</v>
      </c>
      <c r="D367" s="40"/>
      <c r="E367" s="40"/>
      <c r="F367" s="40" t="s">
        <v>695</v>
      </c>
      <c r="G367" s="40"/>
      <c r="H367" s="45"/>
      <c r="I367" s="63">
        <v>1</v>
      </c>
      <c r="J367" s="66">
        <v>1</v>
      </c>
      <c r="K367" s="40" t="s">
        <v>564</v>
      </c>
      <c r="L367" s="40" t="e">
        <f>VLOOKUP(F367,BM!$B$3:$Y$58,12,FALSE)</f>
        <v>#N/A</v>
      </c>
      <c r="M367" s="40"/>
      <c r="N367" s="49" t="e">
        <f t="shared" si="79"/>
        <v>#N/A</v>
      </c>
      <c r="O367" s="40">
        <v>1</v>
      </c>
      <c r="P367" s="57" t="e">
        <f>N367+O367</f>
        <v>#N/A</v>
      </c>
    </row>
    <row r="368" spans="3:16" ht="18.75" customHeight="1">
      <c r="J368" s="47"/>
      <c r="K368" s="47"/>
      <c r="L368" s="48"/>
      <c r="M368" s="48"/>
      <c r="N368" s="48"/>
      <c r="O368" s="48"/>
      <c r="P368" s="48"/>
    </row>
    <row r="369" spans="3:16" ht="18.75" customHeight="1">
      <c r="C369" s="37" t="s">
        <v>850</v>
      </c>
      <c r="D369" s="38" t="s">
        <v>851</v>
      </c>
      <c r="E369" s="38"/>
      <c r="F369" s="39" t="s">
        <v>2</v>
      </c>
      <c r="G369" s="39" t="s">
        <v>1083</v>
      </c>
      <c r="H369" s="39" t="s">
        <v>1084</v>
      </c>
      <c r="I369" s="39" t="s">
        <v>4</v>
      </c>
      <c r="J369" s="39" t="s">
        <v>854</v>
      </c>
      <c r="K369" s="39" t="s">
        <v>5</v>
      </c>
      <c r="L369" s="39" t="s">
        <v>855</v>
      </c>
      <c r="M369" s="39" t="s">
        <v>5</v>
      </c>
      <c r="N369" s="39" t="s">
        <v>854</v>
      </c>
      <c r="O369" s="39" t="s">
        <v>856</v>
      </c>
      <c r="P369" s="39" t="s">
        <v>857</v>
      </c>
    </row>
    <row r="370" spans="3:16" ht="18.75" customHeight="1">
      <c r="C370" s="40" t="s">
        <v>1091</v>
      </c>
      <c r="D370" s="40"/>
      <c r="E370" s="40"/>
      <c r="F370" s="40" t="s">
        <v>695</v>
      </c>
      <c r="G370" s="40"/>
      <c r="H370" s="45"/>
      <c r="I370" s="63">
        <v>1</v>
      </c>
      <c r="J370" s="66">
        <v>1</v>
      </c>
      <c r="K370" s="40" t="s">
        <v>564</v>
      </c>
      <c r="L370" s="40" t="e">
        <f>VLOOKUP(F370,BM!$B$3:$Y$58,13,FALSE)</f>
        <v>#N/A</v>
      </c>
      <c r="M370" s="40"/>
      <c r="N370" s="49" t="e">
        <f t="shared" ref="N370:N371" si="80">J370*L370</f>
        <v>#N/A</v>
      </c>
      <c r="O370" s="40">
        <v>1</v>
      </c>
      <c r="P370" s="57" t="e">
        <f>N370+O370</f>
        <v>#N/A</v>
      </c>
    </row>
    <row r="371" spans="3:16" ht="18.75" customHeight="1">
      <c r="C371" s="40" t="s">
        <v>1091</v>
      </c>
      <c r="D371" s="40"/>
      <c r="E371" s="40"/>
      <c r="F371" s="40" t="s">
        <v>695</v>
      </c>
      <c r="G371" s="40"/>
      <c r="H371" s="45"/>
      <c r="I371" s="63">
        <v>1</v>
      </c>
      <c r="J371" s="66">
        <v>1</v>
      </c>
      <c r="K371" s="40" t="s">
        <v>564</v>
      </c>
      <c r="L371" s="40" t="e">
        <f>VLOOKUP(F371,BM!$B$3:$Y$58,13,FALSE)</f>
        <v>#N/A</v>
      </c>
      <c r="M371" s="40"/>
      <c r="N371" s="49" t="e">
        <f t="shared" si="80"/>
        <v>#N/A</v>
      </c>
      <c r="O371" s="40">
        <v>1</v>
      </c>
      <c r="P371" s="57" t="e">
        <f>N371+O371</f>
        <v>#N/A</v>
      </c>
    </row>
    <row r="372" spans="3:16" ht="18.75" customHeight="1">
      <c r="J372" s="47"/>
      <c r="K372" s="47"/>
      <c r="L372" s="48"/>
      <c r="M372" s="48"/>
      <c r="N372" s="48"/>
      <c r="O372" s="48"/>
      <c r="P372" s="48"/>
    </row>
    <row r="373" spans="3:16" ht="18.75" customHeight="1">
      <c r="C373" s="37" t="s">
        <v>850</v>
      </c>
      <c r="D373" s="38" t="s">
        <v>851</v>
      </c>
      <c r="E373" s="38"/>
      <c r="F373" s="39" t="s">
        <v>2</v>
      </c>
      <c r="G373" s="39" t="s">
        <v>1083</v>
      </c>
      <c r="H373" s="39" t="s">
        <v>1084</v>
      </c>
      <c r="I373" s="39" t="s">
        <v>4</v>
      </c>
      <c r="J373" s="39" t="s">
        <v>854</v>
      </c>
      <c r="K373" s="39" t="s">
        <v>5</v>
      </c>
      <c r="L373" s="39" t="s">
        <v>855</v>
      </c>
      <c r="M373" s="39" t="s">
        <v>5</v>
      </c>
      <c r="N373" s="39" t="s">
        <v>854</v>
      </c>
      <c r="O373" s="39" t="s">
        <v>856</v>
      </c>
      <c r="P373" s="39" t="s">
        <v>857</v>
      </c>
    </row>
    <row r="374" spans="3:16" ht="18.75" customHeight="1">
      <c r="C374" s="40" t="s">
        <v>824</v>
      </c>
      <c r="D374" s="40"/>
      <c r="E374" s="40"/>
      <c r="F374" s="40" t="s">
        <v>695</v>
      </c>
      <c r="G374" s="40"/>
      <c r="H374" s="45"/>
      <c r="I374" s="63">
        <v>1</v>
      </c>
      <c r="J374" s="66">
        <v>1</v>
      </c>
      <c r="K374" s="40" t="s">
        <v>564</v>
      </c>
      <c r="L374" s="40" t="e">
        <f>VLOOKUP(F374,BM!$B$3:$Y$58,14,FALSE)</f>
        <v>#N/A</v>
      </c>
      <c r="M374" s="40"/>
      <c r="N374" s="49" t="e">
        <f t="shared" ref="N374:N375" si="81">J374*L374</f>
        <v>#N/A</v>
      </c>
      <c r="O374" s="40">
        <v>1</v>
      </c>
      <c r="P374" s="57" t="e">
        <f>N374+O374</f>
        <v>#N/A</v>
      </c>
    </row>
    <row r="375" spans="3:16" ht="18.75" customHeight="1">
      <c r="C375" s="40" t="s">
        <v>824</v>
      </c>
      <c r="D375" s="40"/>
      <c r="E375" s="40"/>
      <c r="F375" s="40" t="s">
        <v>695</v>
      </c>
      <c r="G375" s="40"/>
      <c r="H375" s="45"/>
      <c r="I375" s="63">
        <v>1</v>
      </c>
      <c r="J375" s="66">
        <v>1</v>
      </c>
      <c r="K375" s="40" t="s">
        <v>564</v>
      </c>
      <c r="L375" s="40" t="e">
        <f>VLOOKUP(F374,BM!$B$3:$Y$58,14,FALSE)</f>
        <v>#N/A</v>
      </c>
      <c r="M375" s="40"/>
      <c r="N375" s="49" t="e">
        <f t="shared" si="81"/>
        <v>#N/A</v>
      </c>
      <c r="O375" s="40">
        <v>1</v>
      </c>
      <c r="P375" s="57" t="e">
        <f>N375+O375</f>
        <v>#N/A</v>
      </c>
    </row>
    <row r="376" spans="3:16" ht="18.75" customHeight="1">
      <c r="J376" s="47"/>
      <c r="K376" s="47"/>
      <c r="L376" s="48"/>
      <c r="M376" s="48"/>
      <c r="N376" s="48"/>
      <c r="O376" s="48"/>
      <c r="P376" s="48"/>
    </row>
    <row r="377" spans="3:16" ht="18.75" customHeight="1">
      <c r="C377" s="37" t="s">
        <v>850</v>
      </c>
      <c r="D377" s="38" t="s">
        <v>851</v>
      </c>
      <c r="E377" s="38"/>
      <c r="F377" s="39" t="s">
        <v>2</v>
      </c>
      <c r="G377" s="39" t="s">
        <v>1092</v>
      </c>
      <c r="H377" s="39" t="s">
        <v>1093</v>
      </c>
      <c r="I377" s="39" t="s">
        <v>4</v>
      </c>
      <c r="J377" s="39" t="s">
        <v>854</v>
      </c>
      <c r="K377" s="39" t="s">
        <v>5</v>
      </c>
      <c r="L377" s="39" t="s">
        <v>855</v>
      </c>
      <c r="M377" s="39" t="s">
        <v>5</v>
      </c>
      <c r="N377" s="39" t="s">
        <v>854</v>
      </c>
      <c r="O377" s="39" t="s">
        <v>856</v>
      </c>
      <c r="P377" s="39" t="s">
        <v>857</v>
      </c>
    </row>
    <row r="378" spans="3:16" ht="18.75" customHeight="1">
      <c r="C378" s="40" t="s">
        <v>1094</v>
      </c>
      <c r="D378" s="40" t="s">
        <v>859</v>
      </c>
      <c r="E378" s="40"/>
      <c r="F378" s="40">
        <v>25</v>
      </c>
      <c r="G378" s="40">
        <v>320</v>
      </c>
      <c r="H378" s="45">
        <v>1736</v>
      </c>
      <c r="I378" s="40">
        <v>0</v>
      </c>
      <c r="J378" s="46">
        <f t="shared" ref="J378:J383" si="82">(G378*2*0.001+H378*2*0.001)*I378</f>
        <v>0</v>
      </c>
      <c r="K378" s="40"/>
      <c r="L378" s="40">
        <f>VLOOKUP(F378,BM!$B$3:$Y$58,2,FALSE)</f>
        <v>0.1</v>
      </c>
      <c r="M378" s="40"/>
      <c r="N378" s="49">
        <f t="shared" ref="N378:N391" si="83">J378*L378</f>
        <v>0</v>
      </c>
      <c r="O378" s="40">
        <v>1</v>
      </c>
      <c r="P378" s="57">
        <f t="shared" ref="P378:P383" si="84">N378+O378</f>
        <v>1</v>
      </c>
    </row>
    <row r="379" spans="3:16" ht="18.75" customHeight="1">
      <c r="C379" s="40" t="s">
        <v>1095</v>
      </c>
      <c r="D379" s="40" t="s">
        <v>859</v>
      </c>
      <c r="E379" s="40"/>
      <c r="F379" s="40">
        <v>25</v>
      </c>
      <c r="G379" s="40">
        <v>320</v>
      </c>
      <c r="H379" s="45">
        <v>4904</v>
      </c>
      <c r="I379" s="40">
        <v>2</v>
      </c>
      <c r="J379" s="46">
        <f t="shared" si="82"/>
        <v>20.896000000000001</v>
      </c>
      <c r="K379" s="40"/>
      <c r="L379" s="40">
        <f>VLOOKUP(F379,BM!$B$3:$Y$58,2,FALSE)</f>
        <v>0.1</v>
      </c>
      <c r="M379" s="40"/>
      <c r="N379" s="49">
        <f t="shared" si="83"/>
        <v>2.0896000000000003</v>
      </c>
      <c r="O379" s="40">
        <v>1</v>
      </c>
      <c r="P379" s="57">
        <f t="shared" si="84"/>
        <v>3.0896000000000003</v>
      </c>
    </row>
    <row r="380" spans="3:16" ht="18.75" customHeight="1">
      <c r="C380" s="40" t="s">
        <v>1096</v>
      </c>
      <c r="D380" s="40" t="s">
        <v>859</v>
      </c>
      <c r="E380" s="40"/>
      <c r="F380" s="40">
        <v>30</v>
      </c>
      <c r="G380" s="40">
        <v>320</v>
      </c>
      <c r="H380" s="45">
        <v>1890</v>
      </c>
      <c r="I380" s="40">
        <v>0</v>
      </c>
      <c r="J380" s="46">
        <f t="shared" si="82"/>
        <v>0</v>
      </c>
      <c r="K380" s="40"/>
      <c r="L380" s="40">
        <f>VLOOKUP(F380,BM!$B$3:$Y$58,2,FALSE)</f>
        <v>0.1</v>
      </c>
      <c r="M380" s="40"/>
      <c r="N380" s="49">
        <f t="shared" si="83"/>
        <v>0</v>
      </c>
      <c r="O380" s="40">
        <v>1</v>
      </c>
      <c r="P380" s="57">
        <f t="shared" si="84"/>
        <v>1</v>
      </c>
    </row>
    <row r="381" spans="3:16" ht="18.75" customHeight="1">
      <c r="C381" s="40" t="s">
        <v>1097</v>
      </c>
      <c r="D381" s="40" t="s">
        <v>859</v>
      </c>
      <c r="E381" s="40"/>
      <c r="F381" s="40">
        <v>30</v>
      </c>
      <c r="G381" s="40">
        <v>320</v>
      </c>
      <c r="H381" s="45">
        <v>1890</v>
      </c>
      <c r="I381" s="40">
        <v>4</v>
      </c>
      <c r="J381" s="46">
        <f t="shared" si="82"/>
        <v>17.68</v>
      </c>
      <c r="K381" s="40"/>
      <c r="L381" s="40">
        <f>VLOOKUP(F381,BM!$B$3:$Y$58,2,FALSE)</f>
        <v>0.1</v>
      </c>
      <c r="M381" s="40"/>
      <c r="N381" s="49">
        <f t="shared" si="83"/>
        <v>1.768</v>
      </c>
      <c r="O381" s="40">
        <v>1</v>
      </c>
      <c r="P381" s="57">
        <f t="shared" si="84"/>
        <v>2.7679999999999998</v>
      </c>
    </row>
    <row r="382" spans="3:16" ht="18.75" customHeight="1">
      <c r="C382" s="40" t="s">
        <v>1098</v>
      </c>
      <c r="D382" s="40" t="s">
        <v>859</v>
      </c>
      <c r="E382" s="40"/>
      <c r="F382" s="40">
        <v>25</v>
      </c>
      <c r="G382" s="40">
        <v>2336</v>
      </c>
      <c r="H382" s="45">
        <v>1890</v>
      </c>
      <c r="I382" s="40">
        <v>0</v>
      </c>
      <c r="J382" s="46">
        <f t="shared" si="82"/>
        <v>0</v>
      </c>
      <c r="K382" s="40"/>
      <c r="L382" s="40">
        <f>VLOOKUP(F382,BM!$B$3:$Y$58,2,FALSE)</f>
        <v>0.1</v>
      </c>
      <c r="M382" s="40"/>
      <c r="N382" s="49">
        <f t="shared" si="83"/>
        <v>0</v>
      </c>
      <c r="O382" s="40">
        <v>1</v>
      </c>
      <c r="P382" s="57">
        <f t="shared" si="84"/>
        <v>1</v>
      </c>
    </row>
    <row r="383" spans="3:16" ht="18.75" customHeight="1">
      <c r="C383" s="40" t="s">
        <v>1099</v>
      </c>
      <c r="D383" s="40" t="s">
        <v>859</v>
      </c>
      <c r="E383" s="40"/>
      <c r="F383" s="40">
        <v>30</v>
      </c>
      <c r="G383" s="40">
        <v>135</v>
      </c>
      <c r="H383" s="45">
        <v>400</v>
      </c>
      <c r="I383" s="40">
        <v>16</v>
      </c>
      <c r="J383" s="46">
        <f t="shared" si="82"/>
        <v>17.12</v>
      </c>
      <c r="K383" s="40"/>
      <c r="L383" s="40">
        <f>VLOOKUP(F383,BM!$B$3:$Y$58,2,FALSE)</f>
        <v>0.1</v>
      </c>
      <c r="M383" s="40"/>
      <c r="N383" s="49">
        <f t="shared" si="83"/>
        <v>1.7120000000000002</v>
      </c>
      <c r="O383" s="40">
        <v>1</v>
      </c>
      <c r="P383" s="57">
        <f t="shared" si="84"/>
        <v>2.7120000000000002</v>
      </c>
    </row>
    <row r="384" spans="3:16" ht="18.75" customHeight="1">
      <c r="E384" s="35"/>
      <c r="F384" s="35"/>
      <c r="G384" s="35"/>
      <c r="H384" s="47"/>
      <c r="I384" s="35"/>
      <c r="J384" s="48"/>
      <c r="K384" s="35"/>
      <c r="L384" s="35"/>
      <c r="M384" s="35"/>
      <c r="N384" s="54"/>
      <c r="O384" s="35"/>
      <c r="P384" s="67">
        <f>SUM(P378:P383)</f>
        <v>11.569600000000001</v>
      </c>
    </row>
    <row r="385" spans="3:16" ht="18.75" customHeight="1">
      <c r="C385" s="37" t="s">
        <v>850</v>
      </c>
      <c r="D385" s="38" t="s">
        <v>851</v>
      </c>
      <c r="E385" s="38"/>
      <c r="F385" s="39" t="s">
        <v>2</v>
      </c>
      <c r="G385" s="39" t="s">
        <v>1083</v>
      </c>
      <c r="H385" s="39" t="s">
        <v>1084</v>
      </c>
      <c r="I385" s="39" t="s">
        <v>4</v>
      </c>
      <c r="J385" s="39" t="s">
        <v>854</v>
      </c>
      <c r="K385" s="39" t="s">
        <v>5</v>
      </c>
      <c r="L385" s="39" t="s">
        <v>855</v>
      </c>
      <c r="M385" s="39" t="s">
        <v>5</v>
      </c>
      <c r="N385" s="39" t="s">
        <v>854</v>
      </c>
      <c r="O385" s="39" t="s">
        <v>856</v>
      </c>
      <c r="P385" s="39" t="s">
        <v>857</v>
      </c>
    </row>
    <row r="386" spans="3:16" ht="18.75" customHeight="1">
      <c r="C386" s="40" t="s">
        <v>1100</v>
      </c>
      <c r="D386" s="40" t="s">
        <v>859</v>
      </c>
      <c r="E386" s="40"/>
      <c r="F386" s="40">
        <v>25</v>
      </c>
      <c r="G386" s="40">
        <v>320</v>
      </c>
      <c r="H386" s="45">
        <v>1736</v>
      </c>
      <c r="I386" s="40">
        <v>0</v>
      </c>
      <c r="J386" s="46">
        <f t="shared" ref="J386:J391" si="85">(G386*2*0.001+H386*2*0.001)*I386</f>
        <v>0</v>
      </c>
      <c r="K386" s="40"/>
      <c r="L386" s="40">
        <f>VLOOKUP(F386,BM!$B$3:$Y$58,3,FALSE)</f>
        <v>0.25</v>
      </c>
      <c r="M386" s="40"/>
      <c r="N386" s="49">
        <f t="shared" si="83"/>
        <v>0</v>
      </c>
      <c r="O386" s="40">
        <v>1</v>
      </c>
      <c r="P386" s="57">
        <f t="shared" ref="P386:P391" si="86">N386+O386</f>
        <v>1</v>
      </c>
    </row>
    <row r="387" spans="3:16" ht="18.75" customHeight="1">
      <c r="C387" s="40" t="s">
        <v>1101</v>
      </c>
      <c r="D387" s="40" t="s">
        <v>859</v>
      </c>
      <c r="E387" s="40"/>
      <c r="F387" s="40">
        <v>25</v>
      </c>
      <c r="G387" s="40">
        <v>320</v>
      </c>
      <c r="H387" s="45">
        <v>4904</v>
      </c>
      <c r="I387" s="40">
        <v>2</v>
      </c>
      <c r="J387" s="46">
        <f t="shared" si="85"/>
        <v>20.896000000000001</v>
      </c>
      <c r="K387" s="40"/>
      <c r="L387" s="40">
        <f>VLOOKUP(F387,BM!$B$3:$Y$58,3,FALSE)</f>
        <v>0.25</v>
      </c>
      <c r="M387" s="40"/>
      <c r="N387" s="49">
        <f t="shared" si="83"/>
        <v>5.2240000000000002</v>
      </c>
      <c r="O387" s="40">
        <v>1</v>
      </c>
      <c r="P387" s="57">
        <f t="shared" si="86"/>
        <v>6.2240000000000002</v>
      </c>
    </row>
    <row r="388" spans="3:16" ht="18.75" customHeight="1">
      <c r="C388" s="40" t="s">
        <v>1102</v>
      </c>
      <c r="D388" s="40" t="s">
        <v>859</v>
      </c>
      <c r="E388" s="40"/>
      <c r="F388" s="40">
        <v>30</v>
      </c>
      <c r="G388" s="40">
        <v>320</v>
      </c>
      <c r="H388" s="45">
        <v>1890</v>
      </c>
      <c r="I388" s="40">
        <v>0</v>
      </c>
      <c r="J388" s="46">
        <f t="shared" si="85"/>
        <v>0</v>
      </c>
      <c r="K388" s="40"/>
      <c r="L388" s="40">
        <f>VLOOKUP(F388,BM!$B$3:$Y$58,3,FALSE)</f>
        <v>0.25</v>
      </c>
      <c r="M388" s="40"/>
      <c r="N388" s="49">
        <f t="shared" si="83"/>
        <v>0</v>
      </c>
      <c r="O388" s="40">
        <v>1</v>
      </c>
      <c r="P388" s="57">
        <f t="shared" si="86"/>
        <v>1</v>
      </c>
    </row>
    <row r="389" spans="3:16" ht="18.75" customHeight="1">
      <c r="C389" s="40" t="s">
        <v>1103</v>
      </c>
      <c r="D389" s="40" t="s">
        <v>859</v>
      </c>
      <c r="E389" s="40"/>
      <c r="F389" s="40">
        <v>30</v>
      </c>
      <c r="G389" s="40">
        <v>320</v>
      </c>
      <c r="H389" s="45">
        <v>1890</v>
      </c>
      <c r="I389" s="40">
        <v>4</v>
      </c>
      <c r="J389" s="46">
        <f t="shared" si="85"/>
        <v>17.68</v>
      </c>
      <c r="K389" s="40"/>
      <c r="L389" s="40">
        <f>VLOOKUP(F389,BM!$B$3:$Y$58,3,FALSE)</f>
        <v>0.25</v>
      </c>
      <c r="M389" s="40"/>
      <c r="N389" s="49">
        <f t="shared" si="83"/>
        <v>4.42</v>
      </c>
      <c r="O389" s="40">
        <v>1</v>
      </c>
      <c r="P389" s="57">
        <f t="shared" si="86"/>
        <v>5.42</v>
      </c>
    </row>
    <row r="390" spans="3:16" ht="18.75" customHeight="1">
      <c r="C390" s="40" t="s">
        <v>1104</v>
      </c>
      <c r="D390" s="40" t="s">
        <v>859</v>
      </c>
      <c r="E390" s="40"/>
      <c r="F390" s="40">
        <v>25</v>
      </c>
      <c r="G390" s="40">
        <v>2336</v>
      </c>
      <c r="H390" s="45">
        <v>1890</v>
      </c>
      <c r="I390" s="40">
        <v>0</v>
      </c>
      <c r="J390" s="46">
        <f t="shared" si="85"/>
        <v>0</v>
      </c>
      <c r="K390" s="40"/>
      <c r="L390" s="40">
        <f>VLOOKUP(F390,BM!$B$3:$Y$58,3,FALSE)</f>
        <v>0.25</v>
      </c>
      <c r="M390" s="40"/>
      <c r="N390" s="49">
        <f t="shared" si="83"/>
        <v>0</v>
      </c>
      <c r="O390" s="40">
        <v>1</v>
      </c>
      <c r="P390" s="57">
        <f t="shared" si="86"/>
        <v>1</v>
      </c>
    </row>
    <row r="391" spans="3:16" ht="18.75" customHeight="1">
      <c r="C391" s="40" t="s">
        <v>1105</v>
      </c>
      <c r="D391" s="40" t="s">
        <v>859</v>
      </c>
      <c r="E391" s="40"/>
      <c r="F391" s="40">
        <v>30</v>
      </c>
      <c r="G391" s="40">
        <v>135</v>
      </c>
      <c r="H391" s="45">
        <v>400</v>
      </c>
      <c r="I391" s="40">
        <v>16</v>
      </c>
      <c r="J391" s="46">
        <f t="shared" si="85"/>
        <v>17.12</v>
      </c>
      <c r="K391" s="40"/>
      <c r="L391" s="40">
        <f>VLOOKUP(F391,BM!$B$3:$Y$58,3,FALSE)</f>
        <v>0.25</v>
      </c>
      <c r="M391" s="40"/>
      <c r="N391" s="49">
        <f t="shared" si="83"/>
        <v>4.28</v>
      </c>
      <c r="O391" s="40">
        <v>1</v>
      </c>
      <c r="P391" s="57">
        <f t="shared" si="86"/>
        <v>5.28</v>
      </c>
    </row>
    <row r="392" spans="3:16" ht="18.75" customHeight="1">
      <c r="E392" s="35"/>
      <c r="F392" s="35"/>
      <c r="G392" s="35"/>
      <c r="H392" s="47"/>
      <c r="I392" s="35"/>
      <c r="J392" s="48"/>
      <c r="K392" s="35"/>
      <c r="L392" s="35"/>
      <c r="M392" s="35"/>
      <c r="N392" s="54"/>
      <c r="O392" s="35"/>
      <c r="P392" s="67">
        <f>SUM(P386:P391)</f>
        <v>19.923999999999999</v>
      </c>
    </row>
    <row r="393" spans="3:16" ht="18.75" customHeight="1">
      <c r="C393" s="37" t="s">
        <v>850</v>
      </c>
      <c r="D393" s="38" t="s">
        <v>851</v>
      </c>
      <c r="E393" s="38"/>
      <c r="F393" s="39" t="s">
        <v>2</v>
      </c>
      <c r="G393" s="39" t="s">
        <v>1083</v>
      </c>
      <c r="H393" s="39" t="s">
        <v>1084</v>
      </c>
      <c r="I393" s="39" t="s">
        <v>4</v>
      </c>
      <c r="J393" s="39" t="s">
        <v>854</v>
      </c>
      <c r="K393" s="39" t="s">
        <v>5</v>
      </c>
      <c r="L393" s="39" t="s">
        <v>855</v>
      </c>
      <c r="M393" s="39" t="s">
        <v>5</v>
      </c>
      <c r="N393" s="39" t="s">
        <v>854</v>
      </c>
      <c r="O393" s="39" t="s">
        <v>856</v>
      </c>
      <c r="P393" s="39" t="s">
        <v>857</v>
      </c>
    </row>
    <row r="394" spans="3:16" ht="18.75" customHeight="1">
      <c r="C394" s="40" t="s">
        <v>1100</v>
      </c>
      <c r="D394" s="40" t="s">
        <v>859</v>
      </c>
      <c r="E394" s="40"/>
      <c r="F394" s="40">
        <v>25</v>
      </c>
      <c r="G394" s="40">
        <v>320</v>
      </c>
      <c r="H394" s="45">
        <v>1736</v>
      </c>
      <c r="I394" s="40">
        <v>0</v>
      </c>
      <c r="J394" s="46">
        <f t="shared" ref="J394:J399" si="87">(G394*2*0.001+H394*2*0.001)*I394</f>
        <v>0</v>
      </c>
      <c r="K394" s="40"/>
      <c r="L394" s="40">
        <f>VLOOKUP(F394,BM!$B$3:$Y$58,4,FALSE)</f>
        <v>0.15</v>
      </c>
      <c r="M394" s="40"/>
      <c r="N394" s="49">
        <f t="shared" ref="N394:N399" si="88">J394*L394</f>
        <v>0</v>
      </c>
      <c r="O394" s="40">
        <v>1</v>
      </c>
      <c r="P394" s="57">
        <f t="shared" ref="P394:P399" si="89">N394+O394</f>
        <v>1</v>
      </c>
    </row>
    <row r="395" spans="3:16" ht="18.75" customHeight="1">
      <c r="C395" s="40" t="s">
        <v>1101</v>
      </c>
      <c r="D395" s="40" t="s">
        <v>859</v>
      </c>
      <c r="E395" s="40"/>
      <c r="F395" s="40">
        <v>25</v>
      </c>
      <c r="G395" s="40">
        <v>320</v>
      </c>
      <c r="H395" s="45">
        <v>4904</v>
      </c>
      <c r="I395" s="40">
        <v>2</v>
      </c>
      <c r="J395" s="46">
        <f t="shared" si="87"/>
        <v>20.896000000000001</v>
      </c>
      <c r="K395" s="40"/>
      <c r="L395" s="40">
        <f>VLOOKUP(F395,BM!$B$3:$Y$58,4,FALSE)</f>
        <v>0.15</v>
      </c>
      <c r="M395" s="40"/>
      <c r="N395" s="49">
        <f t="shared" si="88"/>
        <v>3.1343999999999999</v>
      </c>
      <c r="O395" s="40">
        <v>1</v>
      </c>
      <c r="P395" s="57">
        <f t="shared" si="89"/>
        <v>4.1343999999999994</v>
      </c>
    </row>
    <row r="396" spans="3:16" ht="18.75" customHeight="1">
      <c r="C396" s="40" t="s">
        <v>1102</v>
      </c>
      <c r="D396" s="40" t="s">
        <v>859</v>
      </c>
      <c r="E396" s="40"/>
      <c r="F396" s="40">
        <v>30</v>
      </c>
      <c r="G396" s="40">
        <v>320</v>
      </c>
      <c r="H396" s="45">
        <v>1890</v>
      </c>
      <c r="I396" s="40">
        <v>0</v>
      </c>
      <c r="J396" s="46">
        <f t="shared" si="87"/>
        <v>0</v>
      </c>
      <c r="K396" s="40"/>
      <c r="L396" s="40">
        <f>VLOOKUP(F396,BM!$B$3:$Y$58,4,FALSE)</f>
        <v>0.15</v>
      </c>
      <c r="M396" s="40"/>
      <c r="N396" s="49">
        <f t="shared" si="88"/>
        <v>0</v>
      </c>
      <c r="O396" s="40">
        <v>1</v>
      </c>
      <c r="P396" s="57">
        <f t="shared" si="89"/>
        <v>1</v>
      </c>
    </row>
    <row r="397" spans="3:16" ht="18.75" customHeight="1">
      <c r="C397" s="40" t="s">
        <v>1103</v>
      </c>
      <c r="D397" s="40" t="s">
        <v>859</v>
      </c>
      <c r="E397" s="40"/>
      <c r="F397" s="40">
        <v>30</v>
      </c>
      <c r="G397" s="40">
        <v>320</v>
      </c>
      <c r="H397" s="45">
        <v>1890</v>
      </c>
      <c r="I397" s="40">
        <v>4</v>
      </c>
      <c r="J397" s="46">
        <f t="shared" si="87"/>
        <v>17.68</v>
      </c>
      <c r="K397" s="40"/>
      <c r="L397" s="40">
        <f>VLOOKUP(F397,BM!$B$3:$Y$58,4,FALSE)</f>
        <v>0.15</v>
      </c>
      <c r="M397" s="40"/>
      <c r="N397" s="49">
        <f t="shared" si="88"/>
        <v>2.6519999999999997</v>
      </c>
      <c r="O397" s="40">
        <v>1</v>
      </c>
      <c r="P397" s="57">
        <f t="shared" si="89"/>
        <v>3.6519999999999997</v>
      </c>
    </row>
    <row r="398" spans="3:16" ht="18.75" customHeight="1">
      <c r="C398" s="40" t="s">
        <v>1104</v>
      </c>
      <c r="D398" s="40" t="s">
        <v>859</v>
      </c>
      <c r="E398" s="40"/>
      <c r="F398" s="40">
        <v>25</v>
      </c>
      <c r="G398" s="40">
        <v>2336</v>
      </c>
      <c r="H398" s="45">
        <v>1890</v>
      </c>
      <c r="I398" s="40">
        <v>0</v>
      </c>
      <c r="J398" s="46">
        <f t="shared" si="87"/>
        <v>0</v>
      </c>
      <c r="K398" s="40"/>
      <c r="L398" s="40">
        <f>VLOOKUP(F398,BM!$B$3:$Y$58,4,FALSE)</f>
        <v>0.15</v>
      </c>
      <c r="M398" s="40"/>
      <c r="N398" s="49">
        <f t="shared" si="88"/>
        <v>0</v>
      </c>
      <c r="O398" s="40">
        <v>1</v>
      </c>
      <c r="P398" s="57">
        <f t="shared" si="89"/>
        <v>1</v>
      </c>
    </row>
    <row r="399" spans="3:16" ht="18.75" customHeight="1">
      <c r="C399" s="40" t="s">
        <v>1105</v>
      </c>
      <c r="D399" s="40" t="s">
        <v>859</v>
      </c>
      <c r="E399" s="40"/>
      <c r="F399" s="40">
        <v>30</v>
      </c>
      <c r="G399" s="40">
        <v>135</v>
      </c>
      <c r="H399" s="45">
        <v>400</v>
      </c>
      <c r="I399" s="40">
        <v>16</v>
      </c>
      <c r="J399" s="46">
        <f t="shared" si="87"/>
        <v>17.12</v>
      </c>
      <c r="K399" s="40"/>
      <c r="L399" s="40">
        <f>VLOOKUP(F399,BM!$B$3:$Y$58,4,FALSE)</f>
        <v>0.15</v>
      </c>
      <c r="M399" s="40"/>
      <c r="N399" s="49">
        <f t="shared" si="88"/>
        <v>2.5680000000000001</v>
      </c>
      <c r="O399" s="40">
        <v>1</v>
      </c>
      <c r="P399" s="57">
        <f t="shared" si="89"/>
        <v>3.5680000000000001</v>
      </c>
    </row>
    <row r="400" spans="3:16" ht="18.75" customHeight="1">
      <c r="P400" s="72">
        <f>SUM(P394:P399)</f>
        <v>14.354399999999998</v>
      </c>
    </row>
    <row r="401" spans="3:16" ht="18.75" customHeight="1">
      <c r="C401" s="37" t="s">
        <v>850</v>
      </c>
      <c r="D401" s="38" t="s">
        <v>851</v>
      </c>
      <c r="E401" s="38"/>
      <c r="F401" s="39" t="s">
        <v>2</v>
      </c>
      <c r="G401" s="39"/>
      <c r="H401" s="39"/>
      <c r="I401" s="39" t="s">
        <v>4</v>
      </c>
      <c r="J401" s="39" t="s">
        <v>854</v>
      </c>
      <c r="K401" s="39" t="s">
        <v>5</v>
      </c>
      <c r="L401" s="39" t="s">
        <v>855</v>
      </c>
      <c r="M401" s="39" t="s">
        <v>5</v>
      </c>
      <c r="N401" s="39" t="s">
        <v>854</v>
      </c>
      <c r="O401" s="39" t="s">
        <v>856</v>
      </c>
      <c r="P401" s="39" t="s">
        <v>857</v>
      </c>
    </row>
    <row r="402" spans="3:16" ht="18.75" customHeight="1">
      <c r="C402" s="40" t="s">
        <v>1106</v>
      </c>
      <c r="D402" s="40" t="s">
        <v>859</v>
      </c>
      <c r="E402" s="40"/>
      <c r="F402" s="40">
        <v>25</v>
      </c>
      <c r="G402" s="40"/>
      <c r="H402" s="45"/>
      <c r="I402" s="40">
        <v>2</v>
      </c>
      <c r="J402" s="46">
        <v>2</v>
      </c>
      <c r="K402" s="40" t="s">
        <v>81</v>
      </c>
      <c r="L402" s="40">
        <v>12</v>
      </c>
      <c r="M402" s="40"/>
      <c r="N402" s="49">
        <f t="shared" ref="N402:N403" si="90">J402*L402</f>
        <v>24</v>
      </c>
      <c r="O402" s="40">
        <v>1</v>
      </c>
      <c r="P402" s="57">
        <f>N402+O402</f>
        <v>25</v>
      </c>
    </row>
    <row r="403" spans="3:16" ht="18.75" customHeight="1">
      <c r="C403" s="40" t="s">
        <v>1107</v>
      </c>
      <c r="D403" s="40" t="s">
        <v>859</v>
      </c>
      <c r="E403" s="40"/>
      <c r="F403" s="40">
        <v>25</v>
      </c>
      <c r="G403" s="40"/>
      <c r="H403" s="45"/>
      <c r="I403" s="40">
        <v>2</v>
      </c>
      <c r="J403" s="46">
        <f t="shared" ref="J403" si="91">(G403*2*0.001+H403*2*0.001)*I403</f>
        <v>0</v>
      </c>
      <c r="K403" s="40"/>
      <c r="L403" s="40">
        <f>VLOOKUP(F403,BM!$B$3:$Y$58,4,FALSE)</f>
        <v>0.15</v>
      </c>
      <c r="M403" s="40"/>
      <c r="N403" s="49">
        <f t="shared" si="90"/>
        <v>0</v>
      </c>
      <c r="O403" s="40">
        <v>1</v>
      </c>
      <c r="P403" s="57">
        <f>N403+O403</f>
        <v>1</v>
      </c>
    </row>
    <row r="404" spans="3:16" ht="18.75" customHeight="1">
      <c r="E404" s="35"/>
      <c r="N404" s="54"/>
      <c r="O404" s="35"/>
      <c r="P404" s="61"/>
    </row>
    <row r="406" spans="3:16" ht="18.75" customHeight="1">
      <c r="C406" s="68" t="s">
        <v>1108</v>
      </c>
      <c r="D406" s="68">
        <v>1536</v>
      </c>
      <c r="E406" s="68"/>
      <c r="F406" s="69"/>
      <c r="G406" s="69"/>
      <c r="H406" s="69"/>
      <c r="I406" s="69"/>
      <c r="J406" s="69"/>
      <c r="K406" s="69"/>
      <c r="L406" s="69"/>
    </row>
    <row r="407" spans="3:16" ht="18.75" customHeight="1">
      <c r="C407" s="68" t="s">
        <v>1109</v>
      </c>
      <c r="D407" s="68">
        <v>25</v>
      </c>
      <c r="E407" s="68"/>
      <c r="F407" s="69"/>
      <c r="G407" s="69"/>
      <c r="H407" s="69"/>
      <c r="I407" s="69"/>
      <c r="J407" s="69"/>
      <c r="K407" s="69"/>
      <c r="L407" s="69"/>
    </row>
    <row r="408" spans="3:16" ht="18.75" customHeight="1">
      <c r="C408" s="68" t="s">
        <v>1110</v>
      </c>
      <c r="D408" s="70">
        <f>D407+D406</f>
        <v>1561</v>
      </c>
      <c r="E408" s="68"/>
      <c r="F408" s="69"/>
      <c r="G408" s="69"/>
      <c r="H408" s="69"/>
      <c r="I408" s="69"/>
      <c r="J408" s="69"/>
      <c r="K408" s="69"/>
      <c r="L408" s="69"/>
    </row>
    <row r="409" spans="3:16" ht="18.75" customHeight="1">
      <c r="C409" s="68" t="s">
        <v>1111</v>
      </c>
      <c r="D409" s="68"/>
      <c r="E409" s="68" t="s">
        <v>1112</v>
      </c>
      <c r="F409" s="68" t="s">
        <v>1113</v>
      </c>
      <c r="G409" s="68" t="s">
        <v>1114</v>
      </c>
      <c r="H409" s="68" t="s">
        <v>1115</v>
      </c>
      <c r="I409" s="73" t="s">
        <v>1116</v>
      </c>
      <c r="J409" s="68" t="s">
        <v>1117</v>
      </c>
      <c r="K409" s="73" t="s">
        <v>1118</v>
      </c>
    </row>
    <row r="410" spans="3:16" ht="18.75" customHeight="1">
      <c r="C410" s="68" t="s">
        <v>1119</v>
      </c>
      <c r="D410" s="68"/>
      <c r="E410" s="68"/>
      <c r="F410" s="68">
        <v>18</v>
      </c>
      <c r="G410" s="68">
        <v>1890</v>
      </c>
      <c r="H410" s="68">
        <v>1</v>
      </c>
      <c r="I410" s="68">
        <v>1890</v>
      </c>
      <c r="J410" s="74">
        <f>VLOOKUP(F410,BM!$B$3:$Y$58,22,FALSE)</f>
        <v>3.4</v>
      </c>
      <c r="K410" s="75">
        <f>I410*0.001*J410</f>
        <v>6.4260000000000002</v>
      </c>
    </row>
    <row r="411" spans="3:16" ht="18.75" customHeight="1">
      <c r="C411" s="68" t="s">
        <v>1120</v>
      </c>
      <c r="D411" s="68"/>
      <c r="E411" s="70"/>
      <c r="F411" s="68">
        <v>18</v>
      </c>
      <c r="G411" s="68">
        <v>539</v>
      </c>
      <c r="H411" s="68">
        <v>4</v>
      </c>
      <c r="I411" s="68">
        <f>G411*H411*2</f>
        <v>4312</v>
      </c>
      <c r="J411" s="74">
        <f>VLOOKUP(F411,BM!$B$3:$Y$58,22,FALSE)</f>
        <v>3.4</v>
      </c>
      <c r="K411" s="75">
        <f>I411*0.001*J411</f>
        <v>14.6608</v>
      </c>
    </row>
    <row r="412" spans="3:16" ht="18.75" customHeight="1">
      <c r="C412" s="68" t="s">
        <v>1121</v>
      </c>
      <c r="D412" s="68"/>
      <c r="E412" s="70"/>
      <c r="F412" s="68">
        <v>18</v>
      </c>
      <c r="G412" s="68">
        <v>138</v>
      </c>
      <c r="H412" s="68">
        <v>4</v>
      </c>
      <c r="I412" s="68">
        <f>G412*H412*2</f>
        <v>1104</v>
      </c>
      <c r="J412" s="74">
        <f>VLOOKUP(F412,BM!$B$3:$Y$58,22,FALSE)</f>
        <v>3.4</v>
      </c>
      <c r="K412" s="75">
        <f>I412*0.001*J412</f>
        <v>3.7536</v>
      </c>
    </row>
    <row r="413" spans="3:16" ht="18.75" customHeight="1">
      <c r="C413" s="34"/>
      <c r="D413" s="34"/>
      <c r="E413" s="34"/>
      <c r="K413" s="76">
        <f>SUM(K410:K412)</f>
        <v>24.840399999999999</v>
      </c>
    </row>
    <row r="414" spans="3:16" ht="18.75" customHeight="1">
      <c r="C414" s="34"/>
      <c r="D414" s="34"/>
      <c r="E414" s="34"/>
      <c r="I414" s="34" t="s">
        <v>1122</v>
      </c>
      <c r="J414" s="34">
        <v>4</v>
      </c>
    </row>
    <row r="415" spans="3:16" ht="18.75" customHeight="1">
      <c r="C415" s="34"/>
      <c r="D415" s="34"/>
      <c r="E415" s="34"/>
      <c r="I415" s="34" t="s">
        <v>1123</v>
      </c>
      <c r="K415" s="76">
        <f>K413*J414</f>
        <v>99.361599999999996</v>
      </c>
      <c r="L415" s="34" t="s">
        <v>48</v>
      </c>
    </row>
    <row r="416" spans="3:16" ht="18.75" customHeight="1">
      <c r="C416" s="34"/>
      <c r="D416" s="34"/>
      <c r="E416" s="34"/>
    </row>
    <row r="417" spans="3:12" ht="18.75" customHeight="1">
      <c r="C417" s="68" t="s">
        <v>1108</v>
      </c>
      <c r="D417" s="68">
        <v>1536</v>
      </c>
      <c r="E417" s="68"/>
      <c r="F417" s="69"/>
      <c r="G417" s="69"/>
      <c r="H417" s="69"/>
      <c r="I417" s="69"/>
      <c r="J417" s="69"/>
      <c r="K417" s="69"/>
      <c r="L417" s="69"/>
    </row>
    <row r="418" spans="3:12" ht="18.75" customHeight="1">
      <c r="C418" s="68" t="s">
        <v>1109</v>
      </c>
      <c r="D418" s="68">
        <v>25</v>
      </c>
      <c r="E418" s="68"/>
      <c r="F418" s="69"/>
      <c r="G418" s="69"/>
      <c r="H418" s="69"/>
      <c r="I418" s="69"/>
      <c r="J418" s="69"/>
      <c r="K418" s="69"/>
      <c r="L418" s="69"/>
    </row>
    <row r="419" spans="3:12" ht="18.75" customHeight="1">
      <c r="C419" s="68" t="s">
        <v>1110</v>
      </c>
      <c r="D419" s="70">
        <f>D418+D417</f>
        <v>1561</v>
      </c>
      <c r="E419" s="68"/>
      <c r="F419" s="69"/>
      <c r="G419" s="69"/>
      <c r="H419" s="69"/>
      <c r="I419" s="69"/>
      <c r="J419" s="69"/>
      <c r="K419" s="69"/>
      <c r="L419" s="69"/>
    </row>
    <row r="420" spans="3:12" ht="18.75" customHeight="1">
      <c r="C420" s="70" t="s">
        <v>1124</v>
      </c>
      <c r="D420" s="68"/>
      <c r="E420" s="68" t="s">
        <v>1112</v>
      </c>
      <c r="F420" s="68" t="s">
        <v>1113</v>
      </c>
      <c r="G420" s="68" t="s">
        <v>1114</v>
      </c>
      <c r="H420" s="68" t="s">
        <v>1115</v>
      </c>
      <c r="I420" s="73" t="s">
        <v>1116</v>
      </c>
      <c r="J420" s="68" t="s">
        <v>1117</v>
      </c>
      <c r="K420" s="73" t="s">
        <v>1118</v>
      </c>
    </row>
    <row r="421" spans="3:12" ht="18.75" customHeight="1">
      <c r="C421" s="68" t="s">
        <v>1125</v>
      </c>
      <c r="D421" s="68"/>
      <c r="E421" s="68"/>
      <c r="F421" s="68">
        <v>18</v>
      </c>
      <c r="G421" s="68">
        <v>1890</v>
      </c>
      <c r="H421" s="68">
        <v>2</v>
      </c>
      <c r="I421" s="68">
        <v>1890</v>
      </c>
      <c r="J421" s="74">
        <f>VLOOKUP(F421,BM!$B$3:$Y$58,22,FALSE)</f>
        <v>3.4</v>
      </c>
      <c r="K421" s="75">
        <f>I421*0.001*J421</f>
        <v>6.4260000000000002</v>
      </c>
    </row>
    <row r="422" spans="3:12" ht="18.75" customHeight="1">
      <c r="C422" s="68" t="s">
        <v>1126</v>
      </c>
      <c r="D422" s="68"/>
      <c r="E422" s="68"/>
      <c r="F422" s="68">
        <v>18</v>
      </c>
      <c r="G422" s="68">
        <v>2336</v>
      </c>
      <c r="H422" s="68">
        <v>2</v>
      </c>
      <c r="I422" s="68">
        <f>G422*H422*2</f>
        <v>9344</v>
      </c>
      <c r="J422" s="68">
        <f>VLOOKUP(F422,BM!$B$3:$Y$58,22,FALSE)</f>
        <v>3.4</v>
      </c>
      <c r="K422" s="77">
        <f>I422*0.001*J422</f>
        <v>31.769599999999997</v>
      </c>
    </row>
    <row r="423" spans="3:12" ht="18.75" customHeight="1">
      <c r="C423" s="68" t="s">
        <v>1127</v>
      </c>
      <c r="D423" s="68"/>
      <c r="E423" s="68"/>
      <c r="F423" s="68">
        <v>18</v>
      </c>
      <c r="G423" s="68">
        <v>320</v>
      </c>
      <c r="H423" s="68">
        <v>1</v>
      </c>
      <c r="I423" s="68">
        <f>G423*H423*2</f>
        <v>640</v>
      </c>
      <c r="J423" s="68">
        <f>VLOOKUP(F423,BM!$B$3:$Y$58,22,FALSE)</f>
        <v>3.4</v>
      </c>
      <c r="K423" s="77">
        <f>I423*0.001*J423</f>
        <v>2.1760000000000002</v>
      </c>
    </row>
    <row r="424" spans="3:12" ht="18.75" customHeight="1">
      <c r="C424" s="68" t="s">
        <v>1128</v>
      </c>
      <c r="D424" s="68"/>
      <c r="E424" s="68"/>
      <c r="F424" s="68">
        <v>18</v>
      </c>
      <c r="G424" s="68">
        <f>G422-D419</f>
        <v>775</v>
      </c>
      <c r="H424" s="68">
        <v>4</v>
      </c>
      <c r="I424" s="68">
        <f>G424*H424*2</f>
        <v>6200</v>
      </c>
      <c r="J424" s="68">
        <f>VLOOKUP(F424,BM!$B$3:$Y$58,22,FALSE)</f>
        <v>3.4</v>
      </c>
      <c r="K424" s="77">
        <f>SUM(K421:K422)</f>
        <v>38.195599999999999</v>
      </c>
    </row>
    <row r="425" spans="3:12" ht="18.75" customHeight="1">
      <c r="C425" s="68" t="s">
        <v>1129</v>
      </c>
      <c r="D425" s="68"/>
      <c r="E425" s="68"/>
      <c r="F425" s="68">
        <v>18</v>
      </c>
      <c r="G425" s="68">
        <v>160</v>
      </c>
      <c r="H425" s="68">
        <v>4</v>
      </c>
      <c r="I425" s="68">
        <f>G425*H425*2*2</f>
        <v>2560</v>
      </c>
      <c r="J425" s="68">
        <f>VLOOKUP(F425,BM!$B$3:$Y$58,22,FALSE)</f>
        <v>3.4</v>
      </c>
      <c r="K425" s="77">
        <f>SUM(K422:K423)</f>
        <v>33.945599999999999</v>
      </c>
    </row>
    <row r="426" spans="3:12" ht="18.75" customHeight="1">
      <c r="C426" s="71"/>
      <c r="D426" s="71"/>
      <c r="E426" s="71"/>
      <c r="F426" s="71"/>
      <c r="G426" s="71"/>
      <c r="H426" s="71"/>
      <c r="I426" s="71"/>
      <c r="J426" s="71"/>
      <c r="K426" s="78">
        <f>SUM(K421:K425)</f>
        <v>112.5128</v>
      </c>
    </row>
    <row r="427" spans="3:12" ht="18.75" customHeight="1">
      <c r="C427" s="34"/>
      <c r="D427" s="34"/>
      <c r="E427" s="34"/>
      <c r="I427" s="34" t="s">
        <v>1122</v>
      </c>
      <c r="J427" s="34">
        <v>4</v>
      </c>
      <c r="K427" s="79">
        <f>K426*J427</f>
        <v>450.05119999999999</v>
      </c>
    </row>
    <row r="428" spans="3:12" ht="18.75" customHeight="1">
      <c r="L428" s="47"/>
    </row>
  </sheetData>
  <mergeCells count="15">
    <mergeCell ref="B256:B271"/>
    <mergeCell ref="B274:B281"/>
    <mergeCell ref="B284:B291"/>
    <mergeCell ref="B294:B301"/>
    <mergeCell ref="B303:B327"/>
    <mergeCell ref="B202:B210"/>
    <mergeCell ref="B213:B221"/>
    <mergeCell ref="B224:B230"/>
    <mergeCell ref="B233:B239"/>
    <mergeCell ref="B243:B253"/>
    <mergeCell ref="B152:B159"/>
    <mergeCell ref="B162:B165"/>
    <mergeCell ref="B168:B176"/>
    <mergeCell ref="B179:B189"/>
    <mergeCell ref="B191:B199"/>
  </mergeCells>
  <pageMargins left="0.30902777777777801" right="0.21875" top="0.75" bottom="0.75" header="0.3" footer="0.3"/>
  <pageSetup paperSize="9" scale="85" orientation="landscape"/>
  <headerFooter>
    <oddFooter>&amp;L&amp;F&amp;C&amp;P/&amp;N&amp;R&amp;D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PoP</vt:lpstr>
      <vt:lpstr>Legends</vt:lpstr>
      <vt:lpstr>Template</vt:lpstr>
      <vt:lpstr>4220D</vt:lpstr>
      <vt:lpstr>PLAN IN EXCEL</vt:lpstr>
      <vt:lpstr>NOZZLE</vt:lpstr>
      <vt:lpstr>BM</vt:lpstr>
      <vt:lpstr>ACTIVITY (2)</vt:lpstr>
      <vt:lpstr>ACTIVITY</vt:lpstr>
      <vt:lpstr>ESTIMATE (2)</vt:lpstr>
      <vt:lpstr>Sheet3</vt:lpstr>
      <vt:lpstr>Welding Qty Estimate</vt:lpstr>
      <vt:lpstr>'4220D'!Print_Area</vt:lpstr>
      <vt:lpstr>ACTIVITY!Print_Area</vt:lpstr>
      <vt:lpstr>'ACTIVITY (2)'!Print_Area</vt:lpstr>
      <vt:lpstr>BM!Print_Area</vt:lpstr>
      <vt:lpstr>Template!Print_Area</vt:lpstr>
      <vt:lpstr>'4220D'!Print_Titles</vt:lpstr>
      <vt:lpstr>ACTIVITY!Print_Titles</vt:lpstr>
      <vt:lpstr>'ACTIVITY (2)'!Print_Titles</vt:lpstr>
      <vt:lpstr>Template!Print_Titles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SRK</dc:creator>
  <cp:lastModifiedBy>Hari Thapliyal</cp:lastModifiedBy>
  <cp:lastPrinted>2018-02-02T10:10:00Z</cp:lastPrinted>
  <dcterms:created xsi:type="dcterms:W3CDTF">2006-09-16T00:00:00Z</dcterms:created>
  <dcterms:modified xsi:type="dcterms:W3CDTF">2018-02-07T10:07:47Z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